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105" windowWidth="15195" windowHeight="7935" tabRatio="778" activeTab="2"/>
  </bookViews>
  <sheets>
    <sheet name="Прогноз 2016 " sheetId="1" r:id="rId1"/>
    <sheet name="Диагностика" sheetId="14" r:id="rId2"/>
    <sheet name="Прил 3 (расчет ИФО) (2)" sheetId="9" r:id="rId3"/>
  </sheets>
  <definedNames>
    <definedName name="_xlnm.Print_Titles" localSheetId="1">Диагностика!$4:$7</definedName>
    <definedName name="_xlnm.Print_Titles" localSheetId="2">'Прил 3 (расчет ИФО) (2)'!$5:$7</definedName>
    <definedName name="_xlnm.Print_Titles" localSheetId="0">'Прогноз 2016 '!$6:$8</definedName>
    <definedName name="_xlnm.Print_Area" localSheetId="2">'Прил 3 (расчет ИФО) (2)'!$A$1:$T$30</definedName>
    <definedName name="_xlnm.Print_Area" localSheetId="0">'Прогноз 2016 '!$A$1:$I$142</definedName>
  </definedNames>
  <calcPr calcId="125725"/>
</workbook>
</file>

<file path=xl/calcChain.xml><?xml version="1.0" encoding="utf-8"?>
<calcChain xmlns="http://schemas.openxmlformats.org/spreadsheetml/2006/main">
  <c r="P108" i="14"/>
  <c r="R108"/>
  <c r="S108"/>
  <c r="T108"/>
  <c r="U108"/>
  <c r="Q108"/>
  <c r="R190"/>
  <c r="S190"/>
  <c r="T190"/>
  <c r="U190"/>
  <c r="Q190"/>
  <c r="Q241" s="1"/>
  <c r="P190"/>
  <c r="Q12"/>
  <c r="AE242"/>
  <c r="AF242" s="1"/>
  <c r="AG242" s="1"/>
  <c r="AL241"/>
  <c r="AK235"/>
  <c r="AL235"/>
  <c r="AM235"/>
  <c r="AK236"/>
  <c r="AL236"/>
  <c r="AM236"/>
  <c r="AK237"/>
  <c r="AL237"/>
  <c r="AM237"/>
  <c r="AK238"/>
  <c r="AL238"/>
  <c r="AM238"/>
  <c r="AK239"/>
  <c r="AL239"/>
  <c r="AM239"/>
  <c r="AK240"/>
  <c r="AL240"/>
  <c r="AM240"/>
  <c r="AK241"/>
  <c r="AM241"/>
  <c r="AM234"/>
  <c r="AL234"/>
  <c r="AK234"/>
  <c r="AE235"/>
  <c r="AF235"/>
  <c r="AG235"/>
  <c r="AE236"/>
  <c r="AF236"/>
  <c r="AG236"/>
  <c r="AE237"/>
  <c r="AF237"/>
  <c r="AG237"/>
  <c r="AE238"/>
  <c r="AF238"/>
  <c r="AG238"/>
  <c r="AE239"/>
  <c r="AF239"/>
  <c r="AG239"/>
  <c r="AE240"/>
  <c r="AF240"/>
  <c r="AG240"/>
  <c r="AE241"/>
  <c r="AF241"/>
  <c r="AG241"/>
  <c r="AE234"/>
  <c r="AF234" s="1"/>
  <c r="AG234" s="1"/>
  <c r="AJ81"/>
  <c r="AJ236"/>
  <c r="AK223"/>
  <c r="AL223"/>
  <c r="AM223"/>
  <c r="AK224"/>
  <c r="AL224"/>
  <c r="AM224"/>
  <c r="AK225"/>
  <c r="AL225"/>
  <c r="AM225"/>
  <c r="AK226"/>
  <c r="AL226"/>
  <c r="AM226"/>
  <c r="AK227"/>
  <c r="AL227"/>
  <c r="AM227"/>
  <c r="AK228"/>
  <c r="AL228"/>
  <c r="AM228"/>
  <c r="AK229"/>
  <c r="AL229"/>
  <c r="AM229"/>
  <c r="AM222"/>
  <c r="AL222"/>
  <c r="AK222"/>
  <c r="AK206"/>
  <c r="AL206"/>
  <c r="AM206"/>
  <c r="AK207"/>
  <c r="AL207"/>
  <c r="AM207"/>
  <c r="AK208"/>
  <c r="AL208"/>
  <c r="AM208"/>
  <c r="AK209"/>
  <c r="AL209"/>
  <c r="AM209"/>
  <c r="AK210"/>
  <c r="AL210"/>
  <c r="AM210"/>
  <c r="AK211"/>
  <c r="AL211"/>
  <c r="AM211"/>
  <c r="AK212"/>
  <c r="AL212"/>
  <c r="AM212"/>
  <c r="AK213"/>
  <c r="AL213"/>
  <c r="AM213"/>
  <c r="AK214"/>
  <c r="AL214"/>
  <c r="AM214"/>
  <c r="AK215"/>
  <c r="AL215"/>
  <c r="AM215"/>
  <c r="AK216"/>
  <c r="AL216"/>
  <c r="AM216"/>
  <c r="AK217"/>
  <c r="AL217"/>
  <c r="AM217"/>
  <c r="AK218"/>
  <c r="AL218"/>
  <c r="AM218"/>
  <c r="AK219"/>
  <c r="AL219"/>
  <c r="AM219"/>
  <c r="AK220"/>
  <c r="AL220"/>
  <c r="AM220"/>
  <c r="AM205"/>
  <c r="AL205"/>
  <c r="AK205"/>
  <c r="AM202"/>
  <c r="AL202"/>
  <c r="AK202"/>
  <c r="AM201"/>
  <c r="AL201"/>
  <c r="AK201"/>
  <c r="AM199"/>
  <c r="AL199"/>
  <c r="AK199"/>
  <c r="AK194"/>
  <c r="AL194"/>
  <c r="AM194"/>
  <c r="AK195"/>
  <c r="AL195"/>
  <c r="AM195"/>
  <c r="AK196"/>
  <c r="AL196"/>
  <c r="AM196"/>
  <c r="AK197"/>
  <c r="AL197"/>
  <c r="AM197"/>
  <c r="AM193"/>
  <c r="AL193"/>
  <c r="AK193"/>
  <c r="AM189"/>
  <c r="AL189"/>
  <c r="AK189"/>
  <c r="AM188"/>
  <c r="AL188"/>
  <c r="AK188"/>
  <c r="AM185"/>
  <c r="AL185"/>
  <c r="AK185"/>
  <c r="AM184"/>
  <c r="AL184"/>
  <c r="AK184"/>
  <c r="AM181"/>
  <c r="AL181"/>
  <c r="AK181"/>
  <c r="AM180"/>
  <c r="AL180"/>
  <c r="AK180"/>
  <c r="AM178"/>
  <c r="AL178"/>
  <c r="AK178"/>
  <c r="AM175"/>
  <c r="AL175"/>
  <c r="AK175"/>
  <c r="AM174"/>
  <c r="AL174"/>
  <c r="AK174"/>
  <c r="AM172"/>
  <c r="AL172"/>
  <c r="AK172"/>
  <c r="AK166"/>
  <c r="AL166"/>
  <c r="AM166"/>
  <c r="AK167"/>
  <c r="AL167"/>
  <c r="AM167"/>
  <c r="AK168"/>
  <c r="AL168"/>
  <c r="AM168"/>
  <c r="AK169"/>
  <c r="AL169"/>
  <c r="AM169"/>
  <c r="AM165"/>
  <c r="AL165"/>
  <c r="AK165"/>
  <c r="AM164"/>
  <c r="AL164"/>
  <c r="AK164"/>
  <c r="AM163"/>
  <c r="AL163"/>
  <c r="AK163"/>
  <c r="AM162"/>
  <c r="AL162"/>
  <c r="AK162"/>
  <c r="AM161"/>
  <c r="AL161"/>
  <c r="AK161"/>
  <c r="AM160"/>
  <c r="AL160"/>
  <c r="AK160"/>
  <c r="AM159"/>
  <c r="AL159"/>
  <c r="AK159"/>
  <c r="AM158"/>
  <c r="AL158"/>
  <c r="AK158"/>
  <c r="AM157"/>
  <c r="AL157"/>
  <c r="AK157"/>
  <c r="AM154"/>
  <c r="AL154"/>
  <c r="AK154"/>
  <c r="AM153"/>
  <c r="AL153"/>
  <c r="AK153"/>
  <c r="AM152"/>
  <c r="AL152"/>
  <c r="AK152"/>
  <c r="AM149"/>
  <c r="AL149"/>
  <c r="AK149"/>
  <c r="AM148"/>
  <c r="AL148"/>
  <c r="AK148"/>
  <c r="AM147"/>
  <c r="AL147"/>
  <c r="AK147"/>
  <c r="AM142"/>
  <c r="AL142"/>
  <c r="AK142"/>
  <c r="AM141"/>
  <c r="AL141"/>
  <c r="AK141"/>
  <c r="AM140"/>
  <c r="AL140"/>
  <c r="AK140"/>
  <c r="AM139"/>
  <c r="AL139"/>
  <c r="AK139"/>
  <c r="AM138"/>
  <c r="AL138"/>
  <c r="AK138"/>
  <c r="AM135"/>
  <c r="AL135"/>
  <c r="AK135"/>
  <c r="AM134"/>
  <c r="AL134"/>
  <c r="AK134"/>
  <c r="AM133"/>
  <c r="AL133"/>
  <c r="AK133"/>
  <c r="AM132"/>
  <c r="AL132"/>
  <c r="AK132"/>
  <c r="AM130"/>
  <c r="AL130"/>
  <c r="AK130"/>
  <c r="AK124"/>
  <c r="AL124"/>
  <c r="AM124"/>
  <c r="AK125"/>
  <c r="AL125"/>
  <c r="AM125"/>
  <c r="AK126"/>
  <c r="AL126"/>
  <c r="AM126"/>
  <c r="AK127"/>
  <c r="AL127"/>
  <c r="AM127"/>
  <c r="AM123"/>
  <c r="AL123"/>
  <c r="AK123"/>
  <c r="AM122"/>
  <c r="AL122"/>
  <c r="AK122"/>
  <c r="AM121"/>
  <c r="AL121"/>
  <c r="AK121"/>
  <c r="AM118"/>
  <c r="AL118"/>
  <c r="AK118"/>
  <c r="AM115"/>
  <c r="AL115"/>
  <c r="AK115"/>
  <c r="AM113"/>
  <c r="AL113"/>
  <c r="AK113"/>
  <c r="AM110"/>
  <c r="AL110"/>
  <c r="AK110"/>
  <c r="AM107"/>
  <c r="AL107"/>
  <c r="AK107"/>
  <c r="AM106"/>
  <c r="AL106"/>
  <c r="AK106"/>
  <c r="AM103"/>
  <c r="AL103"/>
  <c r="AK103"/>
  <c r="AM98"/>
  <c r="AL98"/>
  <c r="AK98"/>
  <c r="AM97"/>
  <c r="AL97"/>
  <c r="AK97"/>
  <c r="AM96"/>
  <c r="AL96"/>
  <c r="AK96"/>
  <c r="AM95"/>
  <c r="AL95"/>
  <c r="AK95"/>
  <c r="AM89"/>
  <c r="AL89"/>
  <c r="AK89"/>
  <c r="AM88"/>
  <c r="AL88"/>
  <c r="AK88"/>
  <c r="AM87"/>
  <c r="AL87"/>
  <c r="AK87"/>
  <c r="AM84"/>
  <c r="AL84"/>
  <c r="AK84"/>
  <c r="AM83"/>
  <c r="AL83"/>
  <c r="AK83"/>
  <c r="AM82"/>
  <c r="AL82"/>
  <c r="AK82"/>
  <c r="AM80"/>
  <c r="AL80"/>
  <c r="AK80"/>
  <c r="AM78"/>
  <c r="AL78"/>
  <c r="AK78"/>
  <c r="AM77"/>
  <c r="AL77"/>
  <c r="AK77"/>
  <c r="AM76"/>
  <c r="AL76"/>
  <c r="AK76"/>
  <c r="AM75"/>
  <c r="AL75"/>
  <c r="AK75"/>
  <c r="AM74"/>
  <c r="AL74"/>
  <c r="AK74"/>
  <c r="AM71"/>
  <c r="AL71"/>
  <c r="AK71"/>
  <c r="AM70"/>
  <c r="AL70"/>
  <c r="AK70"/>
  <c r="AM68"/>
  <c r="AL68"/>
  <c r="AK68"/>
  <c r="AM67"/>
  <c r="AL67"/>
  <c r="AK67"/>
  <c r="AM65"/>
  <c r="AL65"/>
  <c r="AK65"/>
  <c r="AM62"/>
  <c r="AL62"/>
  <c r="AK62"/>
  <c r="AM61"/>
  <c r="AL61"/>
  <c r="AK61"/>
  <c r="AM58"/>
  <c r="AL58"/>
  <c r="AK58"/>
  <c r="AM57"/>
  <c r="AL57"/>
  <c r="AK57"/>
  <c r="AM56"/>
  <c r="AL56"/>
  <c r="AK56"/>
  <c r="AM55"/>
  <c r="AL55"/>
  <c r="AK55"/>
  <c r="AM54"/>
  <c r="AL54"/>
  <c r="AK54"/>
  <c r="AM53"/>
  <c r="AL53"/>
  <c r="AK53"/>
  <c r="AM51"/>
  <c r="AL51"/>
  <c r="AK51"/>
  <c r="AM47"/>
  <c r="AL47"/>
  <c r="AK47"/>
  <c r="AM43"/>
  <c r="AL43"/>
  <c r="AK43"/>
  <c r="AM40"/>
  <c r="AL40"/>
  <c r="AK40"/>
  <c r="AM36"/>
  <c r="AL36"/>
  <c r="AK36"/>
  <c r="AM31"/>
  <c r="AL31"/>
  <c r="AK31"/>
  <c r="AM30"/>
  <c r="AL30"/>
  <c r="AK30"/>
  <c r="AM29"/>
  <c r="AL29"/>
  <c r="AK29"/>
  <c r="AM27"/>
  <c r="AL27"/>
  <c r="AK27"/>
  <c r="AM25"/>
  <c r="AL25"/>
  <c r="AK25"/>
  <c r="AM24"/>
  <c r="AL24"/>
  <c r="AK24"/>
  <c r="AM17"/>
  <c r="AL17"/>
  <c r="AK17"/>
  <c r="AL11"/>
  <c r="AM11"/>
  <c r="AK11"/>
  <c r="AE11"/>
  <c r="AF11"/>
  <c r="AG11"/>
  <c r="AE12"/>
  <c r="AF12"/>
  <c r="AG12"/>
  <c r="AE14"/>
  <c r="AF14"/>
  <c r="AG14"/>
  <c r="AE17"/>
  <c r="AF17"/>
  <c r="AG17"/>
  <c r="AE18"/>
  <c r="AF18"/>
  <c r="AG18"/>
  <c r="AE24"/>
  <c r="AF24"/>
  <c r="AG24"/>
  <c r="AE25"/>
  <c r="AF25"/>
  <c r="AG25"/>
  <c r="AE27"/>
  <c r="AF27"/>
  <c r="AG27"/>
  <c r="AE29"/>
  <c r="AF29"/>
  <c r="AG29"/>
  <c r="AE30"/>
  <c r="AF30"/>
  <c r="AG30"/>
  <c r="AE31"/>
  <c r="AF31"/>
  <c r="AG31"/>
  <c r="AE36"/>
  <c r="AF36"/>
  <c r="AG36"/>
  <c r="AE37"/>
  <c r="AF37"/>
  <c r="AG37"/>
  <c r="AE40"/>
  <c r="AF40"/>
  <c r="AG40"/>
  <c r="AE41"/>
  <c r="AF41"/>
  <c r="AG41"/>
  <c r="AE43"/>
  <c r="AF43"/>
  <c r="AG43"/>
  <c r="AE44"/>
  <c r="AF44"/>
  <c r="AG44"/>
  <c r="AE47"/>
  <c r="AF47"/>
  <c r="AG47"/>
  <c r="AE48"/>
  <c r="AF48"/>
  <c r="AG48"/>
  <c r="AE49"/>
  <c r="AF49"/>
  <c r="AG49"/>
  <c r="AE51"/>
  <c r="AF51"/>
  <c r="AG51"/>
  <c r="AE53"/>
  <c r="AF53"/>
  <c r="AG53"/>
  <c r="AE54"/>
  <c r="AF54"/>
  <c r="AG54"/>
  <c r="AE55"/>
  <c r="AF55"/>
  <c r="AG55"/>
  <c r="AE56"/>
  <c r="AF56"/>
  <c r="AG56"/>
  <c r="AE57"/>
  <c r="AF57"/>
  <c r="AG57"/>
  <c r="AE58"/>
  <c r="AF58"/>
  <c r="AG58"/>
  <c r="AE59"/>
  <c r="AF59"/>
  <c r="AG59"/>
  <c r="AE61"/>
  <c r="AF61"/>
  <c r="AG61"/>
  <c r="AE62"/>
  <c r="AF62"/>
  <c r="AG62"/>
  <c r="AE65"/>
  <c r="AF65"/>
  <c r="AG65"/>
  <c r="AE67"/>
  <c r="AF67"/>
  <c r="AG67"/>
  <c r="AE68"/>
  <c r="AF68"/>
  <c r="AG68"/>
  <c r="AE71"/>
  <c r="AF71"/>
  <c r="AG71"/>
  <c r="AE76"/>
  <c r="AF76"/>
  <c r="AG76"/>
  <c r="AE80"/>
  <c r="AF80"/>
  <c r="AG80"/>
  <c r="AE82"/>
  <c r="AF82"/>
  <c r="AG82"/>
  <c r="AE83"/>
  <c r="AF83"/>
  <c r="AG83"/>
  <c r="AE84"/>
  <c r="AF84"/>
  <c r="AG84"/>
  <c r="AE85"/>
  <c r="AF85"/>
  <c r="AG85"/>
  <c r="AE87"/>
  <c r="AF87"/>
  <c r="AG87"/>
  <c r="AE88"/>
  <c r="AF88"/>
  <c r="AG88"/>
  <c r="AE89"/>
  <c r="AF89"/>
  <c r="AG89"/>
  <c r="AE95"/>
  <c r="AF95"/>
  <c r="AG95"/>
  <c r="AE96"/>
  <c r="AF96"/>
  <c r="AG96"/>
  <c r="AE97"/>
  <c r="AF97"/>
  <c r="AG97"/>
  <c r="AE98"/>
  <c r="AF98"/>
  <c r="AG98"/>
  <c r="AE103"/>
  <c r="AF103"/>
  <c r="AG103"/>
  <c r="AE105"/>
  <c r="AF105"/>
  <c r="AG105"/>
  <c r="AE106"/>
  <c r="AF106"/>
  <c r="AG106"/>
  <c r="AE107"/>
  <c r="AF107"/>
  <c r="AG107"/>
  <c r="AE108"/>
  <c r="AF108"/>
  <c r="AG108"/>
  <c r="AE110"/>
  <c r="AF110"/>
  <c r="AG110"/>
  <c r="AE113"/>
  <c r="AF113"/>
  <c r="AG113"/>
  <c r="AE115"/>
  <c r="AF115"/>
  <c r="AG115"/>
  <c r="AE118"/>
  <c r="AF118"/>
  <c r="AG118"/>
  <c r="AE121"/>
  <c r="AF121"/>
  <c r="AG121"/>
  <c r="AE122"/>
  <c r="AF122"/>
  <c r="AG122"/>
  <c r="AE123"/>
  <c r="AF123"/>
  <c r="AG123"/>
  <c r="AE124"/>
  <c r="AF124"/>
  <c r="AG124"/>
  <c r="AE125"/>
  <c r="AF125"/>
  <c r="AG125"/>
  <c r="AE127"/>
  <c r="AF127"/>
  <c r="AG127"/>
  <c r="AE130"/>
  <c r="AF130"/>
  <c r="AG130"/>
  <c r="AE132"/>
  <c r="AF132"/>
  <c r="AG132"/>
  <c r="AE133"/>
  <c r="AF133"/>
  <c r="AG133"/>
  <c r="AE138"/>
  <c r="AF138"/>
  <c r="AG138"/>
  <c r="AE140"/>
  <c r="AF140"/>
  <c r="AG140"/>
  <c r="AE141"/>
  <c r="AF141"/>
  <c r="AG141"/>
  <c r="AE147"/>
  <c r="AF147"/>
  <c r="AG147"/>
  <c r="AE148"/>
  <c r="AF148"/>
  <c r="AG148"/>
  <c r="AE149"/>
  <c r="AF149"/>
  <c r="AG149"/>
  <c r="AE150"/>
  <c r="AF150"/>
  <c r="AG150"/>
  <c r="AE151"/>
  <c r="AF151"/>
  <c r="AG151"/>
  <c r="AE152"/>
  <c r="AF152"/>
  <c r="AG152"/>
  <c r="AE153"/>
  <c r="AF153"/>
  <c r="AG153"/>
  <c r="AE154"/>
  <c r="AF154"/>
  <c r="AG154"/>
  <c r="AE157"/>
  <c r="AF157"/>
  <c r="AG157"/>
  <c r="AE158"/>
  <c r="AF158"/>
  <c r="AG158"/>
  <c r="AE159"/>
  <c r="AF159"/>
  <c r="AG159"/>
  <c r="AE160"/>
  <c r="AF160"/>
  <c r="AG160"/>
  <c r="AE161"/>
  <c r="AF161"/>
  <c r="AG161"/>
  <c r="AE162"/>
  <c r="AF162"/>
  <c r="AG162"/>
  <c r="AE163"/>
  <c r="AF163"/>
  <c r="AG163"/>
  <c r="AE164"/>
  <c r="AF164"/>
  <c r="AG164"/>
  <c r="AE165"/>
  <c r="AF165"/>
  <c r="AG165"/>
  <c r="AE168"/>
  <c r="AF168"/>
  <c r="AG168"/>
  <c r="AE169"/>
  <c r="AF169"/>
  <c r="AG169"/>
  <c r="AE172"/>
  <c r="AF172"/>
  <c r="AG172"/>
  <c r="AE174"/>
  <c r="AF174"/>
  <c r="AG174"/>
  <c r="AE175"/>
  <c r="AF175"/>
  <c r="AG175"/>
  <c r="AE178"/>
  <c r="AF178"/>
  <c r="AG178"/>
  <c r="AE180"/>
  <c r="AF180"/>
  <c r="AG180"/>
  <c r="AE181"/>
  <c r="AF181"/>
  <c r="AG181"/>
  <c r="AE184"/>
  <c r="AF184"/>
  <c r="AG184"/>
  <c r="AE185"/>
  <c r="AF185"/>
  <c r="AG185"/>
  <c r="AE188"/>
  <c r="AF188"/>
  <c r="AG188"/>
  <c r="AE189"/>
  <c r="AF189"/>
  <c r="AG189"/>
  <c r="AE193"/>
  <c r="AF193"/>
  <c r="AG193"/>
  <c r="AE194"/>
  <c r="AF194"/>
  <c r="AG194"/>
  <c r="AE195"/>
  <c r="AF195"/>
  <c r="AG195"/>
  <c r="AE196"/>
  <c r="AF196"/>
  <c r="AG196"/>
  <c r="AE197"/>
  <c r="AF197"/>
  <c r="AG197"/>
  <c r="AE199"/>
  <c r="AF199"/>
  <c r="AG199"/>
  <c r="AE201"/>
  <c r="AF201"/>
  <c r="AG201"/>
  <c r="AE202"/>
  <c r="AF202"/>
  <c r="AG202"/>
  <c r="AE205"/>
  <c r="AF205"/>
  <c r="AG205"/>
  <c r="AE206"/>
  <c r="AF206"/>
  <c r="AG206"/>
  <c r="AE207"/>
  <c r="AF207"/>
  <c r="AG207"/>
  <c r="AE208"/>
  <c r="AF208"/>
  <c r="AG208"/>
  <c r="AE209"/>
  <c r="AF209"/>
  <c r="AG209"/>
  <c r="AE210"/>
  <c r="AF210"/>
  <c r="AG210"/>
  <c r="AE211"/>
  <c r="AF211"/>
  <c r="AG211"/>
  <c r="AE212"/>
  <c r="AF212"/>
  <c r="AG212"/>
  <c r="AE214"/>
  <c r="AF214"/>
  <c r="AG214"/>
  <c r="AE215"/>
  <c r="AF215"/>
  <c r="AG215"/>
  <c r="AE216"/>
  <c r="AF216"/>
  <c r="AG216"/>
  <c r="AE217"/>
  <c r="AF217"/>
  <c r="AG217"/>
  <c r="AE218"/>
  <c r="AF218"/>
  <c r="AG218"/>
  <c r="AE219"/>
  <c r="AF219"/>
  <c r="AG219"/>
  <c r="AE220"/>
  <c r="AF220"/>
  <c r="AG220"/>
  <c r="AE222"/>
  <c r="AF222"/>
  <c r="AG222"/>
  <c r="AE223"/>
  <c r="AF223"/>
  <c r="AG223"/>
  <c r="AE224"/>
  <c r="AF224"/>
  <c r="AG224"/>
  <c r="AE225"/>
  <c r="AF225"/>
  <c r="AG225"/>
  <c r="AE228"/>
  <c r="AF228"/>
  <c r="AG228"/>
  <c r="AE229"/>
  <c r="AF229"/>
  <c r="AG229"/>
  <c r="AE9"/>
  <c r="AF9" s="1"/>
  <c r="AG9" s="1"/>
  <c r="AA236"/>
  <c r="Z236"/>
  <c r="Y236"/>
  <c r="X236"/>
  <c r="V236"/>
  <c r="U236"/>
  <c r="T236"/>
  <c r="S236"/>
  <c r="R236"/>
  <c r="Q236"/>
  <c r="P236"/>
  <c r="O236"/>
  <c r="N236"/>
  <c r="M236"/>
  <c r="L236"/>
  <c r="K236"/>
  <c r="J236"/>
  <c r="AD58"/>
  <c r="AC57"/>
  <c r="AB51"/>
  <c r="AI44"/>
  <c r="AH44"/>
  <c r="W44"/>
  <c r="X44"/>
  <c r="Y44"/>
  <c r="Z44"/>
  <c r="AA44"/>
  <c r="V44"/>
  <c r="AC30"/>
  <c r="AD30"/>
  <c r="AC31"/>
  <c r="AC29"/>
  <c r="AC27"/>
  <c r="AB54"/>
  <c r="AH230"/>
  <c r="AD236"/>
  <c r="AC236"/>
  <c r="AB236"/>
  <c r="AI230"/>
  <c r="AC230"/>
  <c r="AB230"/>
  <c r="AJ229"/>
  <c r="AD229"/>
  <c r="AC229"/>
  <c r="R229"/>
  <c r="S229" s="1"/>
  <c r="T229" s="1"/>
  <c r="U229" s="1"/>
  <c r="L229"/>
  <c r="M229" s="1"/>
  <c r="N229" s="1"/>
  <c r="AJ228"/>
  <c r="AD228"/>
  <c r="AC228"/>
  <c r="AB228"/>
  <c r="L228"/>
  <c r="M228" s="1"/>
  <c r="N228" s="1"/>
  <c r="AJ227"/>
  <c r="AB227"/>
  <c r="AJ226"/>
  <c r="AJ225"/>
  <c r="AD225"/>
  <c r="AC225"/>
  <c r="AB225"/>
  <c r="R225"/>
  <c r="S225" s="1"/>
  <c r="T225" s="1"/>
  <c r="U225" s="1"/>
  <c r="L225"/>
  <c r="M225" s="1"/>
  <c r="AJ224"/>
  <c r="AD224"/>
  <c r="AC224"/>
  <c r="AB224"/>
  <c r="R224"/>
  <c r="S224" s="1"/>
  <c r="T224" s="1"/>
  <c r="U224" s="1"/>
  <c r="L224"/>
  <c r="M224" s="1"/>
  <c r="AJ223"/>
  <c r="AD223"/>
  <c r="AC223"/>
  <c r="AB223"/>
  <c r="R223"/>
  <c r="S223" s="1"/>
  <c r="T223" s="1"/>
  <c r="U223" s="1"/>
  <c r="L223"/>
  <c r="M223" s="1"/>
  <c r="AJ222"/>
  <c r="AD222"/>
  <c r="AC222"/>
  <c r="R222"/>
  <c r="S222" s="1"/>
  <c r="T222" s="1"/>
  <c r="U222" s="1"/>
  <c r="L222"/>
  <c r="M222" s="1"/>
  <c r="N222" s="1"/>
  <c r="AB221"/>
  <c r="AJ220"/>
  <c r="AD220"/>
  <c r="AC220"/>
  <c r="AB220"/>
  <c r="R220"/>
  <c r="S220" s="1"/>
  <c r="T220" s="1"/>
  <c r="U220" s="1"/>
  <c r="L220"/>
  <c r="M220" s="1"/>
  <c r="AJ219"/>
  <c r="AD219"/>
  <c r="AC219"/>
  <c r="AB219"/>
  <c r="R219"/>
  <c r="S219" s="1"/>
  <c r="T219" s="1"/>
  <c r="U219" s="1"/>
  <c r="L219"/>
  <c r="M219" s="1"/>
  <c r="AJ218"/>
  <c r="AD218"/>
  <c r="AC218"/>
  <c r="R218"/>
  <c r="S218" s="1"/>
  <c r="T218" s="1"/>
  <c r="U218" s="1"/>
  <c r="L218"/>
  <c r="M218" s="1"/>
  <c r="N218" s="1"/>
  <c r="AJ217"/>
  <c r="AD217"/>
  <c r="AC217"/>
  <c r="AB217"/>
  <c r="R217"/>
  <c r="S217" s="1"/>
  <c r="T217" s="1"/>
  <c r="U217" s="1"/>
  <c r="L217"/>
  <c r="M217" s="1"/>
  <c r="N217" s="1"/>
  <c r="AJ216"/>
  <c r="AD216"/>
  <c r="AC216"/>
  <c r="AB216"/>
  <c r="R216"/>
  <c r="S216" s="1"/>
  <c r="T216" s="1"/>
  <c r="U216" s="1"/>
  <c r="L216"/>
  <c r="M216" s="1"/>
  <c r="N216" s="1"/>
  <c r="AJ215"/>
  <c r="AD215"/>
  <c r="AC215"/>
  <c r="R215"/>
  <c r="S215" s="1"/>
  <c r="T215" s="1"/>
  <c r="U215" s="1"/>
  <c r="L215"/>
  <c r="M215" s="1"/>
  <c r="AJ214"/>
  <c r="AD214"/>
  <c r="AC214"/>
  <c r="R214"/>
  <c r="S214" s="1"/>
  <c r="T214" s="1"/>
  <c r="U214" s="1"/>
  <c r="L214"/>
  <c r="M214" s="1"/>
  <c r="N214" s="1"/>
  <c r="O214" s="1"/>
  <c r="AJ213"/>
  <c r="AJ212"/>
  <c r="AD212"/>
  <c r="AC212"/>
  <c r="AB212"/>
  <c r="R212"/>
  <c r="S212" s="1"/>
  <c r="T212" s="1"/>
  <c r="U212" s="1"/>
  <c r="L212"/>
  <c r="M212" s="1"/>
  <c r="N212" s="1"/>
  <c r="AJ211"/>
  <c r="AD211"/>
  <c r="AC211"/>
  <c r="AB211"/>
  <c r="R211"/>
  <c r="S211" s="1"/>
  <c r="T211" s="1"/>
  <c r="U211" s="1"/>
  <c r="L211"/>
  <c r="M211" s="1"/>
  <c r="AJ210"/>
  <c r="AD210"/>
  <c r="AC210"/>
  <c r="AB210"/>
  <c r="R210"/>
  <c r="S210" s="1"/>
  <c r="T210" s="1"/>
  <c r="U210" s="1"/>
  <c r="L210"/>
  <c r="M210" s="1"/>
  <c r="AJ209"/>
  <c r="AD209"/>
  <c r="AC209"/>
  <c r="AB209"/>
  <c r="R209"/>
  <c r="S209" s="1"/>
  <c r="T209" s="1"/>
  <c r="U209" s="1"/>
  <c r="L209"/>
  <c r="M209" s="1"/>
  <c r="AJ208"/>
  <c r="AD208"/>
  <c r="AB208"/>
  <c r="R208"/>
  <c r="S208" s="1"/>
  <c r="T208" s="1"/>
  <c r="U208" s="1"/>
  <c r="L208"/>
  <c r="M208" s="1"/>
  <c r="N208" s="1"/>
  <c r="AJ207"/>
  <c r="AD207"/>
  <c r="AC207"/>
  <c r="AB207"/>
  <c r="R207"/>
  <c r="S207" s="1"/>
  <c r="T207" s="1"/>
  <c r="U207" s="1"/>
  <c r="L207"/>
  <c r="M207" s="1"/>
  <c r="N207" s="1"/>
  <c r="AJ206"/>
  <c r="AD206"/>
  <c r="AC206"/>
  <c r="AB206"/>
  <c r="L206"/>
  <c r="M206" s="1"/>
  <c r="N206" s="1"/>
  <c r="AJ205"/>
  <c r="AD205"/>
  <c r="AC205"/>
  <c r="AB205"/>
  <c r="L205"/>
  <c r="M205" s="1"/>
  <c r="N205" s="1"/>
  <c r="AB203"/>
  <c r="AJ202"/>
  <c r="AD202"/>
  <c r="AC202"/>
  <c r="AB202"/>
  <c r="R202"/>
  <c r="S202" s="1"/>
  <c r="L202"/>
  <c r="M202" s="1"/>
  <c r="AJ201"/>
  <c r="AD201"/>
  <c r="AC201"/>
  <c r="R201"/>
  <c r="S201" s="1"/>
  <c r="T201" s="1"/>
  <c r="U201" s="1"/>
  <c r="L201"/>
  <c r="M201" s="1"/>
  <c r="N201" s="1"/>
  <c r="AJ199"/>
  <c r="AD199"/>
  <c r="AC199"/>
  <c r="AB199"/>
  <c r="L199"/>
  <c r="M199" s="1"/>
  <c r="N199" s="1"/>
  <c r="AD198"/>
  <c r="L198"/>
  <c r="M198" s="1"/>
  <c r="N198" s="1"/>
  <c r="AJ197"/>
  <c r="AD197"/>
  <c r="AC197"/>
  <c r="AB197"/>
  <c r="R197"/>
  <c r="S197" s="1"/>
  <c r="T197" s="1"/>
  <c r="U197" s="1"/>
  <c r="L197"/>
  <c r="M197" s="1"/>
  <c r="N197" s="1"/>
  <c r="AJ196"/>
  <c r="AD196"/>
  <c r="AC196"/>
  <c r="AB196"/>
  <c r="R196"/>
  <c r="S196" s="1"/>
  <c r="T196" s="1"/>
  <c r="U196" s="1"/>
  <c r="L196"/>
  <c r="M196" s="1"/>
  <c r="N196" s="1"/>
  <c r="AJ195"/>
  <c r="AD195"/>
  <c r="AC195"/>
  <c r="AB195"/>
  <c r="L195"/>
  <c r="M195" s="1"/>
  <c r="N195" s="1"/>
  <c r="AJ194"/>
  <c r="AD194"/>
  <c r="AC194"/>
  <c r="AB194"/>
  <c r="L194"/>
  <c r="M194" s="1"/>
  <c r="N194" s="1"/>
  <c r="AJ193"/>
  <c r="AD193"/>
  <c r="AC193"/>
  <c r="AB193"/>
  <c r="R193"/>
  <c r="S193" s="1"/>
  <c r="T193" s="1"/>
  <c r="L193"/>
  <c r="M193" s="1"/>
  <c r="N193" s="1"/>
  <c r="AJ190"/>
  <c r="AJ241" s="1"/>
  <c r="AI190"/>
  <c r="AH190"/>
  <c r="AA190"/>
  <c r="AA241" s="1"/>
  <c r="Z190"/>
  <c r="Z241" s="1"/>
  <c r="Y190"/>
  <c r="Y241" s="1"/>
  <c r="X190"/>
  <c r="X241" s="1"/>
  <c r="W190"/>
  <c r="V190"/>
  <c r="R241"/>
  <c r="P241"/>
  <c r="L190"/>
  <c r="L241" s="1"/>
  <c r="K190"/>
  <c r="K241" s="1"/>
  <c r="J190"/>
  <c r="J241" s="1"/>
  <c r="F190"/>
  <c r="E190"/>
  <c r="D190"/>
  <c r="AJ189"/>
  <c r="AD189"/>
  <c r="AC189"/>
  <c r="AB189"/>
  <c r="AJ188"/>
  <c r="AD188"/>
  <c r="AC188"/>
  <c r="AB188"/>
  <c r="R188"/>
  <c r="S188" s="1"/>
  <c r="T188" s="1"/>
  <c r="U188" s="1"/>
  <c r="L188"/>
  <c r="M188" s="1"/>
  <c r="AB187"/>
  <c r="AB186"/>
  <c r="AJ185"/>
  <c r="AD185"/>
  <c r="AC185"/>
  <c r="AB185"/>
  <c r="R185"/>
  <c r="S185" s="1"/>
  <c r="T185" s="1"/>
  <c r="U185" s="1"/>
  <c r="L185"/>
  <c r="M185" s="1"/>
  <c r="AJ184"/>
  <c r="AD184"/>
  <c r="AC184"/>
  <c r="AB184"/>
  <c r="R184"/>
  <c r="S184" s="1"/>
  <c r="T184" s="1"/>
  <c r="U184" s="1"/>
  <c r="L184"/>
  <c r="M184" s="1"/>
  <c r="AJ181"/>
  <c r="AD181"/>
  <c r="AC181"/>
  <c r="AB181"/>
  <c r="R181"/>
  <c r="S181" s="1"/>
  <c r="T181" s="1"/>
  <c r="U181" s="1"/>
  <c r="L181"/>
  <c r="M181" s="1"/>
  <c r="AJ180"/>
  <c r="AD180"/>
  <c r="AC180"/>
  <c r="AB180"/>
  <c r="R180"/>
  <c r="S180" s="1"/>
  <c r="T180" s="1"/>
  <c r="U180" s="1"/>
  <c r="L180"/>
  <c r="M180" s="1"/>
  <c r="AB179"/>
  <c r="AJ178"/>
  <c r="AD178"/>
  <c r="AC178"/>
  <c r="AB178"/>
  <c r="R178"/>
  <c r="S178" s="1"/>
  <c r="T178" s="1"/>
  <c r="U178" s="1"/>
  <c r="L178"/>
  <c r="M178" s="1"/>
  <c r="N178" s="1"/>
  <c r="AJ175"/>
  <c r="AD175"/>
  <c r="AC175"/>
  <c r="AB175"/>
  <c r="R175"/>
  <c r="S175" s="1"/>
  <c r="T175" s="1"/>
  <c r="U175" s="1"/>
  <c r="L175"/>
  <c r="M175" s="1"/>
  <c r="N175" s="1"/>
  <c r="AJ174"/>
  <c r="AD174"/>
  <c r="AC174"/>
  <c r="AB173"/>
  <c r="AJ172"/>
  <c r="AD172"/>
  <c r="AC172"/>
  <c r="AB172"/>
  <c r="R172"/>
  <c r="S172" s="1"/>
  <c r="T172" s="1"/>
  <c r="U172" s="1"/>
  <c r="L172"/>
  <c r="M172" s="1"/>
  <c r="AJ169"/>
  <c r="AD169"/>
  <c r="AC169"/>
  <c r="AB169"/>
  <c r="R169"/>
  <c r="S169" s="1"/>
  <c r="T169" s="1"/>
  <c r="U169" s="1"/>
  <c r="L169"/>
  <c r="M169" s="1"/>
  <c r="AJ168"/>
  <c r="AD168"/>
  <c r="AC168"/>
  <c r="AB168"/>
  <c r="R168"/>
  <c r="S168" s="1"/>
  <c r="T168" s="1"/>
  <c r="U168" s="1"/>
  <c r="L168"/>
  <c r="M168" s="1"/>
  <c r="AJ167"/>
  <c r="AC167"/>
  <c r="AB167"/>
  <c r="R167"/>
  <c r="S167" s="1"/>
  <c r="T167" s="1"/>
  <c r="U167" s="1"/>
  <c r="L167"/>
  <c r="M167" s="1"/>
  <c r="AJ166"/>
  <c r="AC166"/>
  <c r="AB166"/>
  <c r="R166"/>
  <c r="S166" s="1"/>
  <c r="T166" s="1"/>
  <c r="U166" s="1"/>
  <c r="L166"/>
  <c r="M166" s="1"/>
  <c r="AJ165"/>
  <c r="AD165"/>
  <c r="AC165"/>
  <c r="AB165"/>
  <c r="R165"/>
  <c r="S165" s="1"/>
  <c r="T165" s="1"/>
  <c r="U165" s="1"/>
  <c r="L165"/>
  <c r="M165" s="1"/>
  <c r="AJ164"/>
  <c r="AD164"/>
  <c r="AC164"/>
  <c r="AB164"/>
  <c r="R164"/>
  <c r="S164" s="1"/>
  <c r="T164" s="1"/>
  <c r="U164" s="1"/>
  <c r="L164"/>
  <c r="M164" s="1"/>
  <c r="AJ163"/>
  <c r="AD163"/>
  <c r="AC163"/>
  <c r="AB163"/>
  <c r="R163"/>
  <c r="S163" s="1"/>
  <c r="T163" s="1"/>
  <c r="U163" s="1"/>
  <c r="L163"/>
  <c r="M163" s="1"/>
  <c r="AJ162"/>
  <c r="AD162"/>
  <c r="AC162"/>
  <c r="AB162"/>
  <c r="R162"/>
  <c r="S162" s="1"/>
  <c r="T162" s="1"/>
  <c r="U162" s="1"/>
  <c r="L162"/>
  <c r="M162" s="1"/>
  <c r="AJ161"/>
  <c r="AD161"/>
  <c r="AC161"/>
  <c r="AB161"/>
  <c r="R161"/>
  <c r="S161" s="1"/>
  <c r="T161" s="1"/>
  <c r="U161" s="1"/>
  <c r="L161"/>
  <c r="M161" s="1"/>
  <c r="AJ160"/>
  <c r="AD160"/>
  <c r="AC160"/>
  <c r="AB160"/>
  <c r="R160"/>
  <c r="S160" s="1"/>
  <c r="T160" s="1"/>
  <c r="U160" s="1"/>
  <c r="L160"/>
  <c r="M160" s="1"/>
  <c r="AJ159"/>
  <c r="AD159"/>
  <c r="AC159"/>
  <c r="AB159"/>
  <c r="R159"/>
  <c r="S159" s="1"/>
  <c r="T159" s="1"/>
  <c r="U159" s="1"/>
  <c r="L159"/>
  <c r="M159" s="1"/>
  <c r="AJ158"/>
  <c r="AD158"/>
  <c r="AC158"/>
  <c r="AB158"/>
  <c r="R158"/>
  <c r="S158" s="1"/>
  <c r="T158" s="1"/>
  <c r="U158" s="1"/>
  <c r="L158"/>
  <c r="M158" s="1"/>
  <c r="N158" s="1"/>
  <c r="AJ157"/>
  <c r="AD157"/>
  <c r="AC157"/>
  <c r="AB157"/>
  <c r="R157"/>
  <c r="S157" s="1"/>
  <c r="T157" s="1"/>
  <c r="U157" s="1"/>
  <c r="L157"/>
  <c r="M157" s="1"/>
  <c r="N157" s="1"/>
  <c r="AJ154"/>
  <c r="AD154"/>
  <c r="AC154"/>
  <c r="L154"/>
  <c r="M154" s="1"/>
  <c r="AJ153"/>
  <c r="AD153"/>
  <c r="AC153"/>
  <c r="AB153"/>
  <c r="R153"/>
  <c r="S153" s="1"/>
  <c r="T153" s="1"/>
  <c r="U153" s="1"/>
  <c r="L153"/>
  <c r="M153" s="1"/>
  <c r="AJ152"/>
  <c r="AD152"/>
  <c r="AC152"/>
  <c r="AB152"/>
  <c r="R152"/>
  <c r="S152" s="1"/>
  <c r="T152" s="1"/>
  <c r="U152" s="1"/>
  <c r="L152"/>
  <c r="M152" s="1"/>
  <c r="AB151"/>
  <c r="AJ149"/>
  <c r="AD149"/>
  <c r="AC149"/>
  <c r="AB149"/>
  <c r="R149"/>
  <c r="S149" s="1"/>
  <c r="T149" s="1"/>
  <c r="U149" s="1"/>
  <c r="L149"/>
  <c r="M149" s="1"/>
  <c r="N149" s="1"/>
  <c r="AJ148"/>
  <c r="AD148"/>
  <c r="AC148"/>
  <c r="R148"/>
  <c r="S148" s="1"/>
  <c r="T148" s="1"/>
  <c r="U148" s="1"/>
  <c r="L148"/>
  <c r="M148" s="1"/>
  <c r="AJ147"/>
  <c r="AD147"/>
  <c r="AC147"/>
  <c r="AB147"/>
  <c r="R147"/>
  <c r="S147" s="1"/>
  <c r="T147" s="1"/>
  <c r="U147" s="1"/>
  <c r="L147"/>
  <c r="M147" s="1"/>
  <c r="AD143"/>
  <c r="AC143"/>
  <c r="AB143"/>
  <c r="L143"/>
  <c r="M143" s="1"/>
  <c r="AJ142"/>
  <c r="AJ141"/>
  <c r="AD141"/>
  <c r="AC141"/>
  <c r="L141"/>
  <c r="M141" s="1"/>
  <c r="N141" s="1"/>
  <c r="AJ140"/>
  <c r="AD140"/>
  <c r="AC140"/>
  <c r="R140"/>
  <c r="S140" s="1"/>
  <c r="T140" s="1"/>
  <c r="U140" s="1"/>
  <c r="L140"/>
  <c r="M140" s="1"/>
  <c r="AJ139"/>
  <c r="AC139"/>
  <c r="AB139"/>
  <c r="R139"/>
  <c r="S139" s="1"/>
  <c r="T139" s="1"/>
  <c r="U139" s="1"/>
  <c r="L139"/>
  <c r="M139" s="1"/>
  <c r="AJ138"/>
  <c r="AD138"/>
  <c r="AC138"/>
  <c r="AB138"/>
  <c r="R138"/>
  <c r="S138" s="1"/>
  <c r="T138" s="1"/>
  <c r="U138" s="1"/>
  <c r="L138"/>
  <c r="M138" s="1"/>
  <c r="AB137"/>
  <c r="R137"/>
  <c r="S137" s="1"/>
  <c r="T137" s="1"/>
  <c r="U137" s="1"/>
  <c r="L137"/>
  <c r="M137" s="1"/>
  <c r="N137" s="1"/>
  <c r="AB136"/>
  <c r="AJ135"/>
  <c r="AC135"/>
  <c r="AB135"/>
  <c r="AJ134"/>
  <c r="AJ133"/>
  <c r="AD133"/>
  <c r="AC133"/>
  <c r="AB133"/>
  <c r="R133"/>
  <c r="S133" s="1"/>
  <c r="T133" s="1"/>
  <c r="U133" s="1"/>
  <c r="L133"/>
  <c r="M133" s="1"/>
  <c r="N133" s="1"/>
  <c r="AJ132"/>
  <c r="AD132"/>
  <c r="AC132"/>
  <c r="AB132"/>
  <c r="R132"/>
  <c r="S132" s="1"/>
  <c r="T132" s="1"/>
  <c r="U132" s="1"/>
  <c r="L132"/>
  <c r="M132" s="1"/>
  <c r="N132" s="1"/>
  <c r="AJ130"/>
  <c r="AD130"/>
  <c r="AC130"/>
  <c r="R130"/>
  <c r="S130" s="1"/>
  <c r="T130" s="1"/>
  <c r="U130" s="1"/>
  <c r="L130"/>
  <c r="M130" s="1"/>
  <c r="AJ127"/>
  <c r="AD127"/>
  <c r="AC127"/>
  <c r="AB127"/>
  <c r="L127"/>
  <c r="M127" s="1"/>
  <c r="AJ126"/>
  <c r="AC126"/>
  <c r="AB126"/>
  <c r="R126"/>
  <c r="S126" s="1"/>
  <c r="T126" s="1"/>
  <c r="U126" s="1"/>
  <c r="L126"/>
  <c r="M126" s="1"/>
  <c r="AJ125"/>
  <c r="AD125"/>
  <c r="AC125"/>
  <c r="AB125"/>
  <c r="R125"/>
  <c r="S125" s="1"/>
  <c r="T125" s="1"/>
  <c r="U125" s="1"/>
  <c r="L125"/>
  <c r="M125" s="1"/>
  <c r="AJ124"/>
  <c r="AD124"/>
  <c r="AC124"/>
  <c r="AJ123"/>
  <c r="AD123"/>
  <c r="AC123"/>
  <c r="AB123"/>
  <c r="R123"/>
  <c r="S123" s="1"/>
  <c r="T123" s="1"/>
  <c r="U123" s="1"/>
  <c r="L123"/>
  <c r="M123" s="1"/>
  <c r="N123" s="1"/>
  <c r="AJ122"/>
  <c r="AD122"/>
  <c r="AC122"/>
  <c r="AB122"/>
  <c r="R122"/>
  <c r="S122" s="1"/>
  <c r="T122" s="1"/>
  <c r="U122" s="1"/>
  <c r="L122"/>
  <c r="M122" s="1"/>
  <c r="N122" s="1"/>
  <c r="AJ121"/>
  <c r="AD121"/>
  <c r="AC121"/>
  <c r="AB121"/>
  <c r="R121"/>
  <c r="S121" s="1"/>
  <c r="T121" s="1"/>
  <c r="U121" s="1"/>
  <c r="L121"/>
  <c r="M121" s="1"/>
  <c r="AJ118"/>
  <c r="AD118"/>
  <c r="AC118"/>
  <c r="AB118"/>
  <c r="R118"/>
  <c r="S118" s="1"/>
  <c r="T118" s="1"/>
  <c r="U118" s="1"/>
  <c r="L118"/>
  <c r="M118" s="1"/>
  <c r="AB117"/>
  <c r="AJ115"/>
  <c r="AD115"/>
  <c r="AC115"/>
  <c r="AB115"/>
  <c r="R115"/>
  <c r="S115" s="1"/>
  <c r="T115" s="1"/>
  <c r="U115" s="1"/>
  <c r="L115"/>
  <c r="M115" s="1"/>
  <c r="AJ113"/>
  <c r="AD113"/>
  <c r="AC113"/>
  <c r="R113"/>
  <c r="S113" s="1"/>
  <c r="T113" s="1"/>
  <c r="U113" s="1"/>
  <c r="L113"/>
  <c r="M113" s="1"/>
  <c r="N113" s="1"/>
  <c r="AJ110"/>
  <c r="AD110"/>
  <c r="AC110"/>
  <c r="AB110"/>
  <c r="R110"/>
  <c r="S110" s="1"/>
  <c r="L110"/>
  <c r="M110" s="1"/>
  <c r="AJ108"/>
  <c r="AJ238" s="1"/>
  <c r="AI108"/>
  <c r="AH108"/>
  <c r="AA108"/>
  <c r="AA238" s="1"/>
  <c r="Z108"/>
  <c r="Z238" s="1"/>
  <c r="Y108"/>
  <c r="Y238" s="1"/>
  <c r="X108"/>
  <c r="X238" s="1"/>
  <c r="W108"/>
  <c r="W238" s="1"/>
  <c r="V108"/>
  <c r="R238"/>
  <c r="Q238"/>
  <c r="P238"/>
  <c r="L108"/>
  <c r="L238" s="1"/>
  <c r="K108"/>
  <c r="K238" s="1"/>
  <c r="J108"/>
  <c r="J238" s="1"/>
  <c r="E108"/>
  <c r="D108"/>
  <c r="AJ107"/>
  <c r="AD107"/>
  <c r="AC107"/>
  <c r="AB107"/>
  <c r="AJ106"/>
  <c r="AD106"/>
  <c r="AC106"/>
  <c r="R106"/>
  <c r="S106" s="1"/>
  <c r="T106" s="1"/>
  <c r="U106" s="1"/>
  <c r="L106"/>
  <c r="M106" s="1"/>
  <c r="AJ103"/>
  <c r="AD103"/>
  <c r="AC103"/>
  <c r="R103"/>
  <c r="S103" s="1"/>
  <c r="T103" s="1"/>
  <c r="U103" s="1"/>
  <c r="L103"/>
  <c r="M103" s="1"/>
  <c r="N103" s="1"/>
  <c r="AJ98"/>
  <c r="AD98"/>
  <c r="AC98"/>
  <c r="AB98"/>
  <c r="R98"/>
  <c r="S98" s="1"/>
  <c r="T98" s="1"/>
  <c r="U98" s="1"/>
  <c r="L98"/>
  <c r="M98" s="1"/>
  <c r="N98" s="1"/>
  <c r="AJ97"/>
  <c r="AD97"/>
  <c r="AC97"/>
  <c r="AB97"/>
  <c r="U97"/>
  <c r="L97"/>
  <c r="M97" s="1"/>
  <c r="AJ96"/>
  <c r="AD96"/>
  <c r="AC96"/>
  <c r="AB96"/>
  <c r="R96"/>
  <c r="S96" s="1"/>
  <c r="T96" s="1"/>
  <c r="U96" s="1"/>
  <c r="L96"/>
  <c r="M96" s="1"/>
  <c r="AJ95"/>
  <c r="AD95"/>
  <c r="AC95"/>
  <c r="AB95"/>
  <c r="R95"/>
  <c r="S95" s="1"/>
  <c r="T95" s="1"/>
  <c r="U95" s="1"/>
  <c r="L95"/>
  <c r="M95" s="1"/>
  <c r="AB90"/>
  <c r="AJ89"/>
  <c r="AD89"/>
  <c r="AC89"/>
  <c r="AB89"/>
  <c r="R89"/>
  <c r="S89" s="1"/>
  <c r="T89" s="1"/>
  <c r="U89" s="1"/>
  <c r="L89"/>
  <c r="M89" s="1"/>
  <c r="AJ88"/>
  <c r="AD88"/>
  <c r="AC88"/>
  <c r="AB88"/>
  <c r="R88"/>
  <c r="S88" s="1"/>
  <c r="T88" s="1"/>
  <c r="U88" s="1"/>
  <c r="L88"/>
  <c r="M88" s="1"/>
  <c r="AJ87"/>
  <c r="AD87"/>
  <c r="AC87"/>
  <c r="AB87"/>
  <c r="R87"/>
  <c r="S87" s="1"/>
  <c r="L87"/>
  <c r="M87" s="1"/>
  <c r="AJ85"/>
  <c r="AJ234" s="1"/>
  <c r="AI85"/>
  <c r="AH85"/>
  <c r="AH234" s="1"/>
  <c r="AA85"/>
  <c r="AA234" s="1"/>
  <c r="Z85"/>
  <c r="Z234" s="1"/>
  <c r="Y85"/>
  <c r="Y234" s="1"/>
  <c r="X85"/>
  <c r="X234" s="1"/>
  <c r="W85"/>
  <c r="W234" s="1"/>
  <c r="V85"/>
  <c r="V234" s="1"/>
  <c r="R85"/>
  <c r="R234" s="1"/>
  <c r="Q85"/>
  <c r="Q234" s="1"/>
  <c r="P85"/>
  <c r="P234" s="1"/>
  <c r="L85"/>
  <c r="L234" s="1"/>
  <c r="K85"/>
  <c r="K234" s="1"/>
  <c r="J85"/>
  <c r="J234" s="1"/>
  <c r="F85"/>
  <c r="E85"/>
  <c r="D85"/>
  <c r="AD84"/>
  <c r="AC84"/>
  <c r="AB84"/>
  <c r="AJ83"/>
  <c r="AD83"/>
  <c r="AC83"/>
  <c r="R83"/>
  <c r="S83" s="1"/>
  <c r="L83"/>
  <c r="M83" s="1"/>
  <c r="AJ82"/>
  <c r="AD82"/>
  <c r="AC82"/>
  <c r="R82"/>
  <c r="S82" s="1"/>
  <c r="T82" s="1"/>
  <c r="U82" s="1"/>
  <c r="L82"/>
  <c r="M82" s="1"/>
  <c r="N82" s="1"/>
  <c r="AJ80"/>
  <c r="AD80"/>
  <c r="AC80"/>
  <c r="AB80"/>
  <c r="L80"/>
  <c r="M80" s="1"/>
  <c r="AJ78"/>
  <c r="L78"/>
  <c r="M78" s="1"/>
  <c r="N78" s="1"/>
  <c r="AJ77"/>
  <c r="R77"/>
  <c r="S77" s="1"/>
  <c r="T77" s="1"/>
  <c r="U77" s="1"/>
  <c r="L77"/>
  <c r="M77" s="1"/>
  <c r="N77" s="1"/>
  <c r="AJ76"/>
  <c r="AD76"/>
  <c r="AC76"/>
  <c r="AB76"/>
  <c r="R76"/>
  <c r="S76" s="1"/>
  <c r="T76" s="1"/>
  <c r="U76" s="1"/>
  <c r="L76"/>
  <c r="M76" s="1"/>
  <c r="N76" s="1"/>
  <c r="AJ75"/>
  <c r="R75"/>
  <c r="S75" s="1"/>
  <c r="T75" s="1"/>
  <c r="U75" s="1"/>
  <c r="L75"/>
  <c r="M75" s="1"/>
  <c r="N75" s="1"/>
  <c r="AH74"/>
  <c r="AH72" s="1"/>
  <c r="AC74"/>
  <c r="R74"/>
  <c r="S74" s="1"/>
  <c r="T74" s="1"/>
  <c r="L74"/>
  <c r="M74" s="1"/>
  <c r="N74" s="1"/>
  <c r="AJ72"/>
  <c r="AJ240" s="1"/>
  <c r="AI72"/>
  <c r="AI240" s="1"/>
  <c r="AA72"/>
  <c r="Z72"/>
  <c r="Y72"/>
  <c r="X72"/>
  <c r="W72"/>
  <c r="V72"/>
  <c r="V240" s="1"/>
  <c r="R72"/>
  <c r="R240" s="1"/>
  <c r="Q72"/>
  <c r="Q240" s="1"/>
  <c r="P72"/>
  <c r="P240" s="1"/>
  <c r="L72"/>
  <c r="L240" s="1"/>
  <c r="K72"/>
  <c r="K240" s="1"/>
  <c r="J72"/>
  <c r="J240" s="1"/>
  <c r="F72"/>
  <c r="E72"/>
  <c r="D72"/>
  <c r="AD71"/>
  <c r="AC71"/>
  <c r="AB71"/>
  <c r="AJ70"/>
  <c r="AC70"/>
  <c r="L70"/>
  <c r="M70" s="1"/>
  <c r="N70" s="1"/>
  <c r="AJ68"/>
  <c r="AD68"/>
  <c r="AC68"/>
  <c r="AJ67"/>
  <c r="AD67"/>
  <c r="AC67"/>
  <c r="R67"/>
  <c r="S67" s="1"/>
  <c r="T67" s="1"/>
  <c r="U67" s="1"/>
  <c r="L67"/>
  <c r="M67" s="1"/>
  <c r="N67" s="1"/>
  <c r="AJ65"/>
  <c r="AD65"/>
  <c r="AC65"/>
  <c r="AB65"/>
  <c r="R65"/>
  <c r="S65" s="1"/>
  <c r="T65" s="1"/>
  <c r="U65" s="1"/>
  <c r="L65"/>
  <c r="M65" s="1"/>
  <c r="N65" s="1"/>
  <c r="AJ62"/>
  <c r="AD62"/>
  <c r="AC62"/>
  <c r="AB62"/>
  <c r="R62"/>
  <c r="S62" s="1"/>
  <c r="T62" s="1"/>
  <c r="U62" s="1"/>
  <c r="L62"/>
  <c r="M62" s="1"/>
  <c r="N62" s="1"/>
  <c r="AJ61"/>
  <c r="AJ59" s="1"/>
  <c r="AJ239" s="1"/>
  <c r="AD61"/>
  <c r="AC61"/>
  <c r="AB61"/>
  <c r="R61"/>
  <c r="S61" s="1"/>
  <c r="L61"/>
  <c r="M61" s="1"/>
  <c r="AI59"/>
  <c r="AH59"/>
  <c r="AA59"/>
  <c r="Z59"/>
  <c r="Y59"/>
  <c r="X59"/>
  <c r="W59"/>
  <c r="W239" s="1"/>
  <c r="V59"/>
  <c r="R59"/>
  <c r="R239" s="1"/>
  <c r="Q59"/>
  <c r="Q239" s="1"/>
  <c r="P59"/>
  <c r="P239" s="1"/>
  <c r="L59"/>
  <c r="L239" s="1"/>
  <c r="K59"/>
  <c r="K239" s="1"/>
  <c r="J59"/>
  <c r="J239" s="1"/>
  <c r="G59"/>
  <c r="F59"/>
  <c r="E59"/>
  <c r="D59"/>
  <c r="AC58"/>
  <c r="AB58"/>
  <c r="AJ57"/>
  <c r="AD57" s="1"/>
  <c r="R57"/>
  <c r="S57" s="1"/>
  <c r="T57" s="1"/>
  <c r="U57" s="1"/>
  <c r="L57"/>
  <c r="M57" s="1"/>
  <c r="F57"/>
  <c r="E57"/>
  <c r="AJ56"/>
  <c r="AD56"/>
  <c r="AC56"/>
  <c r="AB56"/>
  <c r="R56"/>
  <c r="S56" s="1"/>
  <c r="T56" s="1"/>
  <c r="U56" s="1"/>
  <c r="L56"/>
  <c r="M56" s="1"/>
  <c r="F56"/>
  <c r="E56"/>
  <c r="AD55"/>
  <c r="AC55"/>
  <c r="AB55"/>
  <c r="I55"/>
  <c r="H55"/>
  <c r="G55"/>
  <c r="F55"/>
  <c r="E55"/>
  <c r="AJ54"/>
  <c r="AD54"/>
  <c r="AC54"/>
  <c r="R54"/>
  <c r="S54" s="1"/>
  <c r="L54"/>
  <c r="M54" s="1"/>
  <c r="F54"/>
  <c r="E54"/>
  <c r="AD53"/>
  <c r="AC53"/>
  <c r="AB53"/>
  <c r="I53"/>
  <c r="H53"/>
  <c r="G53"/>
  <c r="F53"/>
  <c r="E53"/>
  <c r="I52"/>
  <c r="H52"/>
  <c r="G52"/>
  <c r="F52"/>
  <c r="E52"/>
  <c r="AJ51"/>
  <c r="AD51"/>
  <c r="AC51"/>
  <c r="R51"/>
  <c r="S51" s="1"/>
  <c r="T51" s="1"/>
  <c r="L51"/>
  <c r="M51" s="1"/>
  <c r="F51"/>
  <c r="E51"/>
  <c r="R50"/>
  <c r="Q50"/>
  <c r="AJ49"/>
  <c r="AJ237" s="1"/>
  <c r="AI49"/>
  <c r="AH49"/>
  <c r="AA49"/>
  <c r="Z49"/>
  <c r="Y49"/>
  <c r="X49"/>
  <c r="X237" s="1"/>
  <c r="W49"/>
  <c r="V49"/>
  <c r="R49"/>
  <c r="R237" s="1"/>
  <c r="Q49"/>
  <c r="Q237" s="1"/>
  <c r="P49"/>
  <c r="P237" s="1"/>
  <c r="L49"/>
  <c r="L237" s="1"/>
  <c r="K49"/>
  <c r="K237" s="1"/>
  <c r="J49"/>
  <c r="J237" s="1"/>
  <c r="F49"/>
  <c r="F237" s="1"/>
  <c r="E49"/>
  <c r="E237" s="1"/>
  <c r="D49"/>
  <c r="D237" s="1"/>
  <c r="AK48"/>
  <c r="AL48" s="1"/>
  <c r="AD48"/>
  <c r="AC48"/>
  <c r="AB48"/>
  <c r="AJ47"/>
  <c r="AJ44" s="1"/>
  <c r="AD44" s="1"/>
  <c r="AD47"/>
  <c r="AC47"/>
  <c r="AB47"/>
  <c r="L47"/>
  <c r="M47" s="1"/>
  <c r="E47"/>
  <c r="AC44"/>
  <c r="AB44"/>
  <c r="U44"/>
  <c r="T44"/>
  <c r="S44"/>
  <c r="R44"/>
  <c r="Q44"/>
  <c r="O44"/>
  <c r="L44"/>
  <c r="K44"/>
  <c r="J44"/>
  <c r="I44"/>
  <c r="E44"/>
  <c r="D44"/>
  <c r="AJ43"/>
  <c r="AD43"/>
  <c r="AC43"/>
  <c r="AB43"/>
  <c r="L43"/>
  <c r="M43" s="1"/>
  <c r="F43"/>
  <c r="E43"/>
  <c r="I42"/>
  <c r="H42"/>
  <c r="G42"/>
  <c r="F42"/>
  <c r="E42"/>
  <c r="AJ41"/>
  <c r="AI41"/>
  <c r="AH41"/>
  <c r="AA41"/>
  <c r="Z41"/>
  <c r="Y41"/>
  <c r="X41"/>
  <c r="AD41" s="1"/>
  <c r="W41"/>
  <c r="AC41" s="1"/>
  <c r="V41"/>
  <c r="AB41" s="1"/>
  <c r="U41"/>
  <c r="T41"/>
  <c r="S41"/>
  <c r="R41"/>
  <c r="Q41"/>
  <c r="P41"/>
  <c r="L41"/>
  <c r="K41"/>
  <c r="J41"/>
  <c r="F41"/>
  <c r="E41"/>
  <c r="D41"/>
  <c r="AJ40"/>
  <c r="AD40"/>
  <c r="AC40"/>
  <c r="AB40"/>
  <c r="I40"/>
  <c r="H40"/>
  <c r="G40"/>
  <c r="F40"/>
  <c r="E40"/>
  <c r="AB39"/>
  <c r="L39"/>
  <c r="M39" s="1"/>
  <c r="F39"/>
  <c r="E39"/>
  <c r="AI37"/>
  <c r="AH37"/>
  <c r="AA37"/>
  <c r="Z37"/>
  <c r="Y37"/>
  <c r="X37"/>
  <c r="W37"/>
  <c r="AC37" s="1"/>
  <c r="V37"/>
  <c r="AB37" s="1"/>
  <c r="U37"/>
  <c r="T37"/>
  <c r="S37"/>
  <c r="R37"/>
  <c r="Q37"/>
  <c r="P37"/>
  <c r="L37"/>
  <c r="K37"/>
  <c r="J37"/>
  <c r="F37"/>
  <c r="E37"/>
  <c r="D37"/>
  <c r="AJ36"/>
  <c r="AD36"/>
  <c r="AC36"/>
  <c r="AB36"/>
  <c r="R36"/>
  <c r="S36" s="1"/>
  <c r="T36" s="1"/>
  <c r="U36" s="1"/>
  <c r="L36"/>
  <c r="M36" s="1"/>
  <c r="F36"/>
  <c r="E36"/>
  <c r="I35"/>
  <c r="H35"/>
  <c r="G35"/>
  <c r="F35"/>
  <c r="E35"/>
  <c r="I34"/>
  <c r="H34"/>
  <c r="G34"/>
  <c r="F34"/>
  <c r="E34"/>
  <c r="I33"/>
  <c r="H33"/>
  <c r="G33"/>
  <c r="F33"/>
  <c r="E33"/>
  <c r="I32"/>
  <c r="H32"/>
  <c r="G32"/>
  <c r="F32"/>
  <c r="E32"/>
  <c r="AJ31"/>
  <c r="R31"/>
  <c r="S31" s="1"/>
  <c r="T31" s="1"/>
  <c r="U31" s="1"/>
  <c r="I31"/>
  <c r="H31"/>
  <c r="G31"/>
  <c r="F31"/>
  <c r="E31"/>
  <c r="R30"/>
  <c r="S30" s="1"/>
  <c r="T30" s="1"/>
  <c r="U30" s="1"/>
  <c r="L30"/>
  <c r="M30" s="1"/>
  <c r="F30"/>
  <c r="E30"/>
  <c r="AJ29"/>
  <c r="R29"/>
  <c r="S29" s="1"/>
  <c r="T29" s="1"/>
  <c r="U29" s="1"/>
  <c r="L29"/>
  <c r="M29" s="1"/>
  <c r="F29"/>
  <c r="E29"/>
  <c r="I28"/>
  <c r="H28"/>
  <c r="G28"/>
  <c r="F28"/>
  <c r="E28"/>
  <c r="AJ27"/>
  <c r="R27"/>
  <c r="S27" s="1"/>
  <c r="T27" s="1"/>
  <c r="U27" s="1"/>
  <c r="L27"/>
  <c r="M27" s="1"/>
  <c r="F27"/>
  <c r="E27"/>
  <c r="I26"/>
  <c r="H26"/>
  <c r="G26"/>
  <c r="F26"/>
  <c r="E26"/>
  <c r="AJ25"/>
  <c r="AD25"/>
  <c r="AC25"/>
  <c r="AB25"/>
  <c r="R25"/>
  <c r="S25" s="1"/>
  <c r="T25" s="1"/>
  <c r="U25" s="1"/>
  <c r="L25"/>
  <c r="M25" s="1"/>
  <c r="F25"/>
  <c r="E25"/>
  <c r="AJ24"/>
  <c r="AD24"/>
  <c r="AC24"/>
  <c r="AB24"/>
  <c r="R24"/>
  <c r="S24" s="1"/>
  <c r="T24" s="1"/>
  <c r="U24" s="1"/>
  <c r="L24"/>
  <c r="M24" s="1"/>
  <c r="F24"/>
  <c r="E24"/>
  <c r="AD23"/>
  <c r="AC23"/>
  <c r="AB23"/>
  <c r="R23"/>
  <c r="S23" s="1"/>
  <c r="L23"/>
  <c r="M23" s="1"/>
  <c r="F23"/>
  <c r="E23"/>
  <c r="AC22"/>
  <c r="AB22"/>
  <c r="R22"/>
  <c r="S22" s="1"/>
  <c r="T22" s="1"/>
  <c r="L22"/>
  <c r="M22" s="1"/>
  <c r="F22"/>
  <c r="E22"/>
  <c r="AJ18"/>
  <c r="AI18"/>
  <c r="AH18"/>
  <c r="AA18"/>
  <c r="Z18"/>
  <c r="Y18"/>
  <c r="X18"/>
  <c r="AD18" s="1"/>
  <c r="W18"/>
  <c r="AC18" s="1"/>
  <c r="V18"/>
  <c r="AB18" s="1"/>
  <c r="R18"/>
  <c r="Q18"/>
  <c r="P18"/>
  <c r="L18"/>
  <c r="K18"/>
  <c r="J18"/>
  <c r="F18"/>
  <c r="E18"/>
  <c r="D18"/>
  <c r="AD17"/>
  <c r="AC17"/>
  <c r="AB17"/>
  <c r="I17"/>
  <c r="H17"/>
  <c r="G17"/>
  <c r="F17"/>
  <c r="E17"/>
  <c r="D17"/>
  <c r="AM14"/>
  <c r="AL14"/>
  <c r="AK14"/>
  <c r="AJ14"/>
  <c r="AI14"/>
  <c r="AI12" s="1"/>
  <c r="AH14"/>
  <c r="AH12" s="1"/>
  <c r="AA14"/>
  <c r="Z14"/>
  <c r="Y14"/>
  <c r="X14"/>
  <c r="AD14" s="1"/>
  <c r="W14"/>
  <c r="AC14" s="1"/>
  <c r="V14"/>
  <c r="AB14" s="1"/>
  <c r="U14"/>
  <c r="T14"/>
  <c r="S14"/>
  <c r="R14"/>
  <c r="Q235"/>
  <c r="O14"/>
  <c r="N14"/>
  <c r="M14"/>
  <c r="L14"/>
  <c r="K14"/>
  <c r="J14"/>
  <c r="I14"/>
  <c r="H14"/>
  <c r="G14"/>
  <c r="F14"/>
  <c r="E14"/>
  <c r="D14"/>
  <c r="R12"/>
  <c r="R235" s="1"/>
  <c r="P12"/>
  <c r="P235" s="1"/>
  <c r="L12"/>
  <c r="L235" s="1"/>
  <c r="K12"/>
  <c r="K235" s="1"/>
  <c r="J12"/>
  <c r="J235" s="1"/>
  <c r="E12"/>
  <c r="E235" s="1"/>
  <c r="D12"/>
  <c r="D231" s="1"/>
  <c r="AD11"/>
  <c r="AC11"/>
  <c r="AJ9"/>
  <c r="AI9"/>
  <c r="AH9"/>
  <c r="AD9"/>
  <c r="AC9"/>
  <c r="AB9"/>
  <c r="W9"/>
  <c r="V9"/>
  <c r="U9"/>
  <c r="T9"/>
  <c r="S9"/>
  <c r="R9"/>
  <c r="R231" s="1"/>
  <c r="Q9"/>
  <c r="P9"/>
  <c r="O9"/>
  <c r="N9"/>
  <c r="M9"/>
  <c r="L9"/>
  <c r="L231" s="1"/>
  <c r="K9"/>
  <c r="K231" s="1"/>
  <c r="J9"/>
  <c r="J231" s="1"/>
  <c r="I9"/>
  <c r="H9"/>
  <c r="G9"/>
  <c r="F9"/>
  <c r="E9"/>
  <c r="E231" s="1"/>
  <c r="Q26" i="9"/>
  <c r="R26"/>
  <c r="S26"/>
  <c r="T26"/>
  <c r="P26"/>
  <c r="K26"/>
  <c r="L26"/>
  <c r="M26"/>
  <c r="N26"/>
  <c r="O26"/>
  <c r="J26"/>
  <c r="Q25"/>
  <c r="R25"/>
  <c r="S25"/>
  <c r="T25"/>
  <c r="P25"/>
  <c r="K25"/>
  <c r="L25"/>
  <c r="M25"/>
  <c r="N25"/>
  <c r="O25"/>
  <c r="J25"/>
  <c r="Q23"/>
  <c r="R23"/>
  <c r="S23"/>
  <c r="T23"/>
  <c r="P23"/>
  <c r="Q19"/>
  <c r="R19"/>
  <c r="S19"/>
  <c r="T19"/>
  <c r="P19"/>
  <c r="Q10"/>
  <c r="R10"/>
  <c r="S10"/>
  <c r="T10"/>
  <c r="P10"/>
  <c r="K10"/>
  <c r="L10"/>
  <c r="M10"/>
  <c r="N10"/>
  <c r="O10"/>
  <c r="J10"/>
  <c r="Q24"/>
  <c r="R24"/>
  <c r="S24"/>
  <c r="T24"/>
  <c r="P24"/>
  <c r="O24"/>
  <c r="O23" s="1"/>
  <c r="N24"/>
  <c r="M24"/>
  <c r="L24"/>
  <c r="K24"/>
  <c r="J24"/>
  <c r="J23" s="1"/>
  <c r="K23"/>
  <c r="L23"/>
  <c r="M23"/>
  <c r="N23"/>
  <c r="K19"/>
  <c r="L19"/>
  <c r="M19"/>
  <c r="N19"/>
  <c r="J19"/>
  <c r="O22"/>
  <c r="O19" s="1"/>
  <c r="N22"/>
  <c r="M22"/>
  <c r="L22"/>
  <c r="K22"/>
  <c r="J22"/>
  <c r="O20"/>
  <c r="N20"/>
  <c r="M20"/>
  <c r="L20"/>
  <c r="K20"/>
  <c r="J20"/>
  <c r="O16"/>
  <c r="N16"/>
  <c r="M16"/>
  <c r="L16"/>
  <c r="K16"/>
  <c r="J16"/>
  <c r="O14"/>
  <c r="N14"/>
  <c r="M14"/>
  <c r="L14"/>
  <c r="K14"/>
  <c r="J14"/>
  <c r="O13"/>
  <c r="N13"/>
  <c r="M13"/>
  <c r="L13"/>
  <c r="K13"/>
  <c r="J13"/>
  <c r="O12"/>
  <c r="N12"/>
  <c r="M12"/>
  <c r="L12"/>
  <c r="K12"/>
  <c r="J12"/>
  <c r="O11"/>
  <c r="O17" s="1"/>
  <c r="N11"/>
  <c r="N17" s="1"/>
  <c r="M11"/>
  <c r="M17" s="1"/>
  <c r="L11"/>
  <c r="L17" s="1"/>
  <c r="K11"/>
  <c r="K17" s="1"/>
  <c r="J11"/>
  <c r="P231" i="14" l="1"/>
  <c r="N22"/>
  <c r="G22"/>
  <c r="N24"/>
  <c r="G24"/>
  <c r="N30"/>
  <c r="G30"/>
  <c r="N36"/>
  <c r="G36"/>
  <c r="N51"/>
  <c r="G51"/>
  <c r="N57"/>
  <c r="G57"/>
  <c r="N61"/>
  <c r="M59"/>
  <c r="M239" s="1"/>
  <c r="T61"/>
  <c r="S59"/>
  <c r="S239" s="1"/>
  <c r="P242"/>
  <c r="AH231"/>
  <c r="AI231"/>
  <c r="Y12"/>
  <c r="Y235" s="1"/>
  <c r="Z12"/>
  <c r="AA12"/>
  <c r="J242"/>
  <c r="AD27"/>
  <c r="AD29"/>
  <c r="AD31"/>
  <c r="V12"/>
  <c r="AB12" s="1"/>
  <c r="W12"/>
  <c r="W231" s="1"/>
  <c r="AC231" s="1"/>
  <c r="D235"/>
  <c r="D242" s="1"/>
  <c r="X12"/>
  <c r="X231" s="1"/>
  <c r="AA231"/>
  <c r="Z231"/>
  <c r="Y231"/>
  <c r="Q231"/>
  <c r="AK9"/>
  <c r="H22"/>
  <c r="O22"/>
  <c r="U22"/>
  <c r="S18"/>
  <c r="S12" s="1"/>
  <c r="S235" s="1"/>
  <c r="T23"/>
  <c r="U23" s="1"/>
  <c r="AK18"/>
  <c r="G25"/>
  <c r="N25"/>
  <c r="H30"/>
  <c r="O30"/>
  <c r="I30" s="1"/>
  <c r="H36"/>
  <c r="O36"/>
  <c r="I36" s="1"/>
  <c r="G43"/>
  <c r="G41" s="1"/>
  <c r="M41"/>
  <c r="N43"/>
  <c r="AK41"/>
  <c r="M44"/>
  <c r="N47"/>
  <c r="G47"/>
  <c r="G44" s="1"/>
  <c r="AM48"/>
  <c r="G54"/>
  <c r="N54"/>
  <c r="M49"/>
  <c r="M237" s="1"/>
  <c r="N59"/>
  <c r="N239" s="1"/>
  <c r="O61"/>
  <c r="T59"/>
  <c r="T239" s="1"/>
  <c r="U61"/>
  <c r="U59" s="1"/>
  <c r="U239" s="1"/>
  <c r="O62"/>
  <c r="O65"/>
  <c r="O67"/>
  <c r="O70"/>
  <c r="O74"/>
  <c r="U74"/>
  <c r="AB240"/>
  <c r="AB72"/>
  <c r="O75"/>
  <c r="O76"/>
  <c r="O77"/>
  <c r="O78"/>
  <c r="O82"/>
  <c r="T83"/>
  <c r="U83" s="1"/>
  <c r="S72"/>
  <c r="S240" s="1"/>
  <c r="M85"/>
  <c r="M234" s="1"/>
  <c r="N87"/>
  <c r="N89"/>
  <c r="N96"/>
  <c r="O98"/>
  <c r="O103"/>
  <c r="S238"/>
  <c r="T110"/>
  <c r="O113"/>
  <c r="N121"/>
  <c r="N125"/>
  <c r="N138"/>
  <c r="N148"/>
  <c r="O149"/>
  <c r="N153"/>
  <c r="O157"/>
  <c r="O158"/>
  <c r="G23"/>
  <c r="M18"/>
  <c r="N23"/>
  <c r="H24"/>
  <c r="O24"/>
  <c r="I24" s="1"/>
  <c r="G27"/>
  <c r="N27"/>
  <c r="G29"/>
  <c r="N29"/>
  <c r="G39"/>
  <c r="G37" s="1"/>
  <c r="N39"/>
  <c r="M37"/>
  <c r="AK37"/>
  <c r="H51"/>
  <c r="O51"/>
  <c r="U51"/>
  <c r="T54"/>
  <c r="U54" s="1"/>
  <c r="S49"/>
  <c r="S237" s="1"/>
  <c r="AK49"/>
  <c r="G56"/>
  <c r="N56"/>
  <c r="H57"/>
  <c r="O57"/>
  <c r="I57" s="1"/>
  <c r="AK59"/>
  <c r="N80"/>
  <c r="M72"/>
  <c r="M240" s="1"/>
  <c r="AK72"/>
  <c r="N83"/>
  <c r="S85"/>
  <c r="S234" s="1"/>
  <c r="T87"/>
  <c r="AK85"/>
  <c r="N88"/>
  <c r="N95"/>
  <c r="N97"/>
  <c r="N106"/>
  <c r="M108"/>
  <c r="M238" s="1"/>
  <c r="N110"/>
  <c r="AK108"/>
  <c r="N115"/>
  <c r="N118"/>
  <c r="O122"/>
  <c r="O123"/>
  <c r="N126"/>
  <c r="N127"/>
  <c r="N130"/>
  <c r="O132"/>
  <c r="O133"/>
  <c r="O137"/>
  <c r="N139"/>
  <c r="N140"/>
  <c r="O141"/>
  <c r="N143"/>
  <c r="N147"/>
  <c r="N152"/>
  <c r="N154"/>
  <c r="L242"/>
  <c r="AH242"/>
  <c r="AB234"/>
  <c r="AD234"/>
  <c r="N160"/>
  <c r="N162"/>
  <c r="N164"/>
  <c r="N166"/>
  <c r="N167"/>
  <c r="N168"/>
  <c r="N172"/>
  <c r="N180"/>
  <c r="N184"/>
  <c r="N188"/>
  <c r="O193"/>
  <c r="U193"/>
  <c r="O194"/>
  <c r="O195"/>
  <c r="O196"/>
  <c r="O197"/>
  <c r="O198"/>
  <c r="O199"/>
  <c r="O201"/>
  <c r="T202"/>
  <c r="U202" s="1"/>
  <c r="S241"/>
  <c r="N209"/>
  <c r="N211"/>
  <c r="AB235"/>
  <c r="AC49"/>
  <c r="AC237"/>
  <c r="AC59"/>
  <c r="AC239"/>
  <c r="AC72"/>
  <c r="AC240"/>
  <c r="R242"/>
  <c r="V242"/>
  <c r="X242"/>
  <c r="Z242"/>
  <c r="AB85"/>
  <c r="AD85"/>
  <c r="AB108"/>
  <c r="AD108"/>
  <c r="AB238"/>
  <c r="AD238"/>
  <c r="F108"/>
  <c r="N159"/>
  <c r="K242"/>
  <c r="E242"/>
  <c r="AI242"/>
  <c r="AC234"/>
  <c r="N161"/>
  <c r="N163"/>
  <c r="N165"/>
  <c r="N169"/>
  <c r="O175"/>
  <c r="O178"/>
  <c r="N181"/>
  <c r="N185"/>
  <c r="N202"/>
  <c r="M190"/>
  <c r="M241" s="1"/>
  <c r="O205"/>
  <c r="O206"/>
  <c r="O207"/>
  <c r="O208"/>
  <c r="N210"/>
  <c r="O212"/>
  <c r="AC12"/>
  <c r="AC235"/>
  <c r="AJ37"/>
  <c r="AJ12" s="1"/>
  <c r="AJ235" s="1"/>
  <c r="F47"/>
  <c r="F44" s="1"/>
  <c r="F12" s="1"/>
  <c r="AB49"/>
  <c r="AD49"/>
  <c r="AB237"/>
  <c r="AD237"/>
  <c r="S50"/>
  <c r="AB59"/>
  <c r="AD59"/>
  <c r="AB239"/>
  <c r="AD239"/>
  <c r="AD72"/>
  <c r="AE72" s="1"/>
  <c r="AF72" s="1"/>
  <c r="AG72" s="1"/>
  <c r="AD240"/>
  <c r="Q242"/>
  <c r="W242"/>
  <c r="Y242"/>
  <c r="AA242"/>
  <c r="AC85"/>
  <c r="AC108"/>
  <c r="AC238"/>
  <c r="N219"/>
  <c r="N223"/>
  <c r="N225"/>
  <c r="AC190"/>
  <c r="AC241"/>
  <c r="O216"/>
  <c r="O217"/>
  <c r="O218"/>
  <c r="N220"/>
  <c r="O222"/>
  <c r="N224"/>
  <c r="O228"/>
  <c r="O229"/>
  <c r="AD230"/>
  <c r="AE230" s="1"/>
  <c r="AB190"/>
  <c r="AD190"/>
  <c r="AE190" s="1"/>
  <c r="AF190" s="1"/>
  <c r="AG190" s="1"/>
  <c r="AB241"/>
  <c r="AD241"/>
  <c r="N215"/>
  <c r="T22" i="9"/>
  <c r="R22"/>
  <c r="Q22"/>
  <c r="S22"/>
  <c r="T16"/>
  <c r="S16"/>
  <c r="R16"/>
  <c r="P20"/>
  <c r="Q16"/>
  <c r="P16"/>
  <c r="S14"/>
  <c r="T14"/>
  <c r="Q14"/>
  <c r="T17"/>
  <c r="R13"/>
  <c r="S17"/>
  <c r="P13"/>
  <c r="S12"/>
  <c r="T12"/>
  <c r="Q12"/>
  <c r="J17"/>
  <c r="P17" s="1"/>
  <c r="R17"/>
  <c r="Q20"/>
  <c r="S20"/>
  <c r="R20"/>
  <c r="T20"/>
  <c r="P22"/>
  <c r="Q17"/>
  <c r="Q11"/>
  <c r="P12"/>
  <c r="R12"/>
  <c r="Q13"/>
  <c r="S13"/>
  <c r="P14"/>
  <c r="R14"/>
  <c r="P11"/>
  <c r="T13"/>
  <c r="AK230" i="14" l="1"/>
  <c r="AF230"/>
  <c r="F231"/>
  <c r="F235"/>
  <c r="F242" s="1"/>
  <c r="AK44"/>
  <c r="N190"/>
  <c r="N241" s="1"/>
  <c r="T241"/>
  <c r="AL108"/>
  <c r="AL59"/>
  <c r="U18"/>
  <c r="U12" s="1"/>
  <c r="U235" s="1"/>
  <c r="V231"/>
  <c r="AB231" s="1"/>
  <c r="O215"/>
  <c r="O210"/>
  <c r="O185"/>
  <c r="O181"/>
  <c r="O159"/>
  <c r="O211"/>
  <c r="O209"/>
  <c r="O188"/>
  <c r="O184"/>
  <c r="O180"/>
  <c r="O154"/>
  <c r="O152"/>
  <c r="O147"/>
  <c r="O143"/>
  <c r="O140"/>
  <c r="O139"/>
  <c r="O130"/>
  <c r="O127"/>
  <c r="O126"/>
  <c r="O115"/>
  <c r="O110"/>
  <c r="N108"/>
  <c r="N238" s="1"/>
  <c r="U87"/>
  <c r="U85" s="1"/>
  <c r="U234" s="1"/>
  <c r="T85"/>
  <c r="T234" s="1"/>
  <c r="O83"/>
  <c r="O80"/>
  <c r="U50"/>
  <c r="U49"/>
  <c r="U237" s="1"/>
  <c r="I51"/>
  <c r="AL37"/>
  <c r="O121"/>
  <c r="I72"/>
  <c r="O72"/>
  <c r="O240" s="1"/>
  <c r="I59"/>
  <c r="O59"/>
  <c r="O239" s="1"/>
  <c r="O54"/>
  <c r="I54" s="1"/>
  <c r="H54"/>
  <c r="H47"/>
  <c r="H44" s="1"/>
  <c r="N44"/>
  <c r="AL41"/>
  <c r="O25"/>
  <c r="I25" s="1"/>
  <c r="H25"/>
  <c r="AL18"/>
  <c r="I22"/>
  <c r="AL9"/>
  <c r="G190"/>
  <c r="S231"/>
  <c r="G108"/>
  <c r="M12"/>
  <c r="M235" s="1"/>
  <c r="U72"/>
  <c r="U240" s="1"/>
  <c r="H72"/>
  <c r="H59"/>
  <c r="O224"/>
  <c r="O220"/>
  <c r="O225"/>
  <c r="O223"/>
  <c r="O219"/>
  <c r="AD37"/>
  <c r="O202"/>
  <c r="O169"/>
  <c r="O165"/>
  <c r="O163"/>
  <c r="O161"/>
  <c r="I190"/>
  <c r="O190"/>
  <c r="O241" s="1"/>
  <c r="O172"/>
  <c r="O168"/>
  <c r="O167"/>
  <c r="O166"/>
  <c r="O164"/>
  <c r="O162"/>
  <c r="O160"/>
  <c r="O118"/>
  <c r="O106"/>
  <c r="O97"/>
  <c r="O95"/>
  <c r="O88"/>
  <c r="AL85"/>
  <c r="O56"/>
  <c r="I56" s="1"/>
  <c r="H56"/>
  <c r="H49" s="1"/>
  <c r="H237" s="1"/>
  <c r="O39"/>
  <c r="N37"/>
  <c r="H39"/>
  <c r="H37" s="1"/>
  <c r="O29"/>
  <c r="I29" s="1"/>
  <c r="H29"/>
  <c r="O27"/>
  <c r="I27" s="1"/>
  <c r="H27"/>
  <c r="O23"/>
  <c r="I23" s="1"/>
  <c r="H23"/>
  <c r="O153"/>
  <c r="O148"/>
  <c r="O138"/>
  <c r="O125"/>
  <c r="U110"/>
  <c r="U238" s="1"/>
  <c r="T238"/>
  <c r="O96"/>
  <c r="O89"/>
  <c r="O87"/>
  <c r="H85"/>
  <c r="N85"/>
  <c r="N234" s="1"/>
  <c r="O43"/>
  <c r="H43"/>
  <c r="H41" s="1"/>
  <c r="N41"/>
  <c r="AK190"/>
  <c r="AK231" s="1"/>
  <c r="AC242"/>
  <c r="U241"/>
  <c r="H190"/>
  <c r="AB242"/>
  <c r="S242"/>
  <c r="G72"/>
  <c r="AL49"/>
  <c r="T50"/>
  <c r="T49"/>
  <c r="T237" s="1"/>
  <c r="N49"/>
  <c r="N237" s="1"/>
  <c r="G18"/>
  <c r="G12" s="1"/>
  <c r="G235" s="1"/>
  <c r="G85"/>
  <c r="AL72"/>
  <c r="T72"/>
  <c r="T240" s="1"/>
  <c r="N72"/>
  <c r="N240" s="1"/>
  <c r="G49"/>
  <c r="G237" s="1"/>
  <c r="T18"/>
  <c r="T12" s="1"/>
  <c r="T235" s="1"/>
  <c r="N18"/>
  <c r="N12" s="1"/>
  <c r="N235" s="1"/>
  <c r="H18"/>
  <c r="H12" s="1"/>
  <c r="H235" s="1"/>
  <c r="AL230" l="1"/>
  <c r="AL190" s="1"/>
  <c r="AG230"/>
  <c r="AM230" s="1"/>
  <c r="AL231"/>
  <c r="AL44"/>
  <c r="AL12"/>
  <c r="AK12"/>
  <c r="T231"/>
  <c r="I85"/>
  <c r="O85"/>
  <c r="O234" s="1"/>
  <c r="AM85"/>
  <c r="AM41"/>
  <c r="U231"/>
  <c r="I108"/>
  <c r="O108"/>
  <c r="O238" s="1"/>
  <c r="G231"/>
  <c r="AM72"/>
  <c r="O18"/>
  <c r="O49"/>
  <c r="O237" s="1"/>
  <c r="AM49"/>
  <c r="T242"/>
  <c r="N231"/>
  <c r="I43"/>
  <c r="I41" s="1"/>
  <c r="O41"/>
  <c r="I39"/>
  <c r="I37" s="1"/>
  <c r="O37"/>
  <c r="AD12"/>
  <c r="AJ231"/>
  <c r="M231"/>
  <c r="AM9"/>
  <c r="AM18"/>
  <c r="AM37"/>
  <c r="I18"/>
  <c r="AM108"/>
  <c r="I49"/>
  <c r="I237" s="1"/>
  <c r="U242"/>
  <c r="H108"/>
  <c r="H231" s="1"/>
  <c r="AM190"/>
  <c r="AD231" l="1"/>
  <c r="AE231" s="1"/>
  <c r="AM59"/>
  <c r="AM231" s="1"/>
  <c r="AM44"/>
  <c r="AM12"/>
  <c r="O12"/>
  <c r="O235" s="1"/>
  <c r="AD235"/>
  <c r="AJ242"/>
  <c r="AD242" s="1"/>
  <c r="O231"/>
  <c r="AL242"/>
  <c r="N242"/>
  <c r="G242"/>
  <c r="M242"/>
  <c r="O242"/>
  <c r="I12"/>
  <c r="AK242"/>
  <c r="H242"/>
  <c r="AF231" l="1"/>
  <c r="AG231" s="1"/>
  <c r="I231"/>
  <c r="I235"/>
  <c r="I242" s="1"/>
  <c r="AM242" l="1"/>
</calcChain>
</file>

<file path=xl/sharedStrings.xml><?xml version="1.0" encoding="utf-8"?>
<sst xmlns="http://schemas.openxmlformats.org/spreadsheetml/2006/main" count="695" uniqueCount="406">
  <si>
    <t>Среднесписочная 
численность работающих (чел.)</t>
  </si>
  <si>
    <t>Выручка от реализации
товаров  (работ, услуг), млн. руб.</t>
  </si>
  <si>
    <t>Оптовая и розничная торговля; ремонт автотранспортных средств, мотоциклов, бытовых изделий и предметов личного пользования</t>
  </si>
  <si>
    <t>Индекс промышленного производства</t>
  </si>
  <si>
    <t>Индекс производства продукции сельского хозяйства в сельхозорганизациях</t>
  </si>
  <si>
    <t>Объем выполненных работ и услуг собственными силами предприятий и организаций</t>
  </si>
  <si>
    <t>Объем инвестиций в основной капитал за счет всех источников -  всего</t>
  </si>
  <si>
    <t>Прочие доходы</t>
  </si>
  <si>
    <t xml:space="preserve">2 вариант </t>
  </si>
  <si>
    <t>экономические показатели</t>
  </si>
  <si>
    <t>Производство мебели и прочей продукции, не включенной в другие группировки - всего</t>
  </si>
  <si>
    <t>Производство и распределение электроэнергии, газа и воды - всего (E)</t>
  </si>
  <si>
    <t>Строительство - всего</t>
  </si>
  <si>
    <t>Транспорт и связь - всего</t>
  </si>
  <si>
    <t>Торговля - всего</t>
  </si>
  <si>
    <t xml:space="preserve">Прочие - всего </t>
  </si>
  <si>
    <t>Наименование показателя</t>
  </si>
  <si>
    <t>Ед. изм.</t>
  </si>
  <si>
    <t>Итоги развития МО</t>
  </si>
  <si>
    <t>млн.руб.</t>
  </si>
  <si>
    <t>в т.ч. по видам экономической деятельности:</t>
  </si>
  <si>
    <t>%</t>
  </si>
  <si>
    <t>руб.</t>
  </si>
  <si>
    <t>Состояние основных видов экономической деятельности хозяйствующих субъектов МО</t>
  </si>
  <si>
    <t>Добыча полезных ископаемых (C):</t>
  </si>
  <si>
    <t>Обрабатывающие производства (D):</t>
  </si>
  <si>
    <t>Производство и распределение электроэнергии, газа и воды (E):</t>
  </si>
  <si>
    <t xml:space="preserve">Сельское хозяйство </t>
  </si>
  <si>
    <t>Валовый выпуск продукции  в сельхозорганизациях</t>
  </si>
  <si>
    <t>Строительство</t>
  </si>
  <si>
    <t>Ввод в действие жилых домов</t>
  </si>
  <si>
    <t>кв. м</t>
  </si>
  <si>
    <t>Введено жилья на душу населения</t>
  </si>
  <si>
    <t>Торговля</t>
  </si>
  <si>
    <t xml:space="preserve">Розничный товарооборот </t>
  </si>
  <si>
    <t xml:space="preserve">Индекс физического объема </t>
  </si>
  <si>
    <t>Малый бизнес</t>
  </si>
  <si>
    <t>ед.</t>
  </si>
  <si>
    <t>тыс.чел.</t>
  </si>
  <si>
    <t>тыс. чел.</t>
  </si>
  <si>
    <t>в том числе:</t>
  </si>
  <si>
    <t>Выплаты социального характера</t>
  </si>
  <si>
    <t>Обрабатывающие производства, всего (D)</t>
  </si>
  <si>
    <t>из них:</t>
  </si>
  <si>
    <t>(органы местного самоуправления при необходимости дополняют номенклатуру продукции)</t>
  </si>
  <si>
    <t>Средняя цена за единицу продукции, тыс. рублей</t>
  </si>
  <si>
    <t>А</t>
  </si>
  <si>
    <t>ПРОМЫШЛЕННОЕ ПРОИЗВОДСТВО:</t>
  </si>
  <si>
    <t>тыс. м3</t>
  </si>
  <si>
    <t>т</t>
  </si>
  <si>
    <t>ИТОГО</t>
  </si>
  <si>
    <t xml:space="preserve"> Обрабатывающие производства (Раздел  D)</t>
  </si>
  <si>
    <t>Изделия колбасные - всего</t>
  </si>
  <si>
    <t>Полуфабрикаты мясные - всего</t>
  </si>
  <si>
    <t>Хлеб и хлебобулочные изделия - всего</t>
  </si>
  <si>
    <t>Изделия кондитерские мучные</t>
  </si>
  <si>
    <t>Пиломатериалы, включая пиломатериалы из давальческого сырья</t>
  </si>
  <si>
    <t xml:space="preserve">Производство и распределение электроэнергии, газа и воды (Раздел Е)
</t>
  </si>
  <si>
    <t>тыс. Гкал</t>
  </si>
  <si>
    <t>Производство пара и горячей воды (тепловой энергии) котельными</t>
  </si>
  <si>
    <t>Котельными</t>
  </si>
  <si>
    <t>Теплоэнергия - всего</t>
  </si>
  <si>
    <t>Распределение пара и горячей воды (тепловой энергии)</t>
  </si>
  <si>
    <t>Итого по промышленному производству (сумма разделов C+D+E)</t>
  </si>
  <si>
    <t>Сельское хозяйство</t>
  </si>
  <si>
    <t>Государственное управление и обеспечение военной безопасности; обязательное социальное обеспечение</t>
  </si>
  <si>
    <t>Добыча полезных ископаемых</t>
  </si>
  <si>
    <t>Обрабатывающие производства</t>
  </si>
  <si>
    <t>Производство и распределение электроэнергии, газа и воды</t>
  </si>
  <si>
    <t>Транспорт и связь</t>
  </si>
  <si>
    <t>Образование</t>
  </si>
  <si>
    <t>Здравоохранение и предоставление социальных услуг</t>
  </si>
  <si>
    <t>Предоставление прочих коммунальных, социальных и персональных услуг</t>
  </si>
  <si>
    <t>из них по отраслям социальной сферы:</t>
  </si>
  <si>
    <t>Прочие</t>
  </si>
  <si>
    <t>Культура и искусство</t>
  </si>
  <si>
    <t>Физическая культура</t>
  </si>
  <si>
    <t>Управление</t>
  </si>
  <si>
    <t>Лесное хозяйство и предоставление услуг в этой области*</t>
  </si>
  <si>
    <t>Производство и распределение электроэнергии, газа и воды**</t>
  </si>
  <si>
    <t>х</t>
  </si>
  <si>
    <t>Наименование элементарного вида деятельности,
 товара-представителя</t>
  </si>
  <si>
    <t>*) сопоставимая цена 1994 г. (рублей за единицу продукции)</t>
  </si>
  <si>
    <t xml:space="preserve">В том числе из общей численности работающих численность работников бюджетной сферы, финансируемой из консолидированного местного бюджета-всего, </t>
  </si>
  <si>
    <t>Производство пищевых продуктов,включая напитки, и табака - всего</t>
  </si>
  <si>
    <t>Обработка древесины и производство изделий из дерева - всего</t>
  </si>
  <si>
    <t>Целлюлозно-бумажное производство; издательская и полиграфическая деятельность - всего</t>
  </si>
  <si>
    <t>Химическое производство - всего</t>
  </si>
  <si>
    <t xml:space="preserve">***) В данной форме органы местного самоуправления показывают только ту продукцию, которая производится в муниципальном образовании, остальные наименования товаров удаляются. </t>
  </si>
  <si>
    <t xml:space="preserve">1 вариант </t>
  </si>
  <si>
    <t>Лесное хозяйство и предоставление услуг в этой области - всего</t>
  </si>
  <si>
    <t>финансовые показатели</t>
  </si>
  <si>
    <t>социальные показатели</t>
  </si>
  <si>
    <t>Фонд оплаты труда, млн. руб</t>
  </si>
  <si>
    <t xml:space="preserve">Объем отгруженных товаров, 
выполненных работ и услуг, млн. руб. </t>
  </si>
  <si>
    <t>в т.ч.по предприятиям:</t>
  </si>
  <si>
    <t>Добыча полезных 
ископаемых - всего (С)</t>
  </si>
  <si>
    <t>Приложение 1</t>
  </si>
  <si>
    <t>Приложение 2 к прогнозу</t>
  </si>
  <si>
    <t>Приложение 3 к прогнозу</t>
  </si>
  <si>
    <t>Прогноз на:</t>
  </si>
  <si>
    <t xml:space="preserve">Производство пищевых продуктов, включая напитки, и табака (Подраздел DA)
</t>
  </si>
  <si>
    <t xml:space="preserve"> Обработка древесины и производство изделий из дерева (Подраздел DD)
</t>
  </si>
  <si>
    <t>Лесозаготовки</t>
  </si>
  <si>
    <t>Количество индивидуальных предпринимателей</t>
  </si>
  <si>
    <t>Промышленное производство (C+D+E):</t>
  </si>
  <si>
    <t>Промышленное производство:</t>
  </si>
  <si>
    <t xml:space="preserve"> в том числе по видам экономической деятельности:</t>
  </si>
  <si>
    <t>Индекс промышленного производства - всего***:</t>
  </si>
  <si>
    <t xml:space="preserve">Расчет индексов производства продукции
по элементарному виду деятельности,  исходя из динамики по товарам-представителям
</t>
  </si>
  <si>
    <t>**) индекс производства продукции расчитывается по разделам видов экономической деятельности и в целом по промышленности, с/х</t>
  </si>
  <si>
    <t>Прибыль (убыток) до налогообложения, 
млн. руб.</t>
  </si>
  <si>
    <t xml:space="preserve">ВСЕГО </t>
  </si>
  <si>
    <t>Произведено продукции в натуральном выражении</t>
  </si>
  <si>
    <t>Объем отгруженных товаров собственного производства, выполненных работ и услуг собственными силами</t>
  </si>
  <si>
    <t>Объем отгруженных товаров собственного производства, выполненных работ и услуг собственными силами (С+D+E):</t>
  </si>
  <si>
    <t>Среднемесячная заработная плата, руб</t>
  </si>
  <si>
    <t>Число действующих микропредприятий - всего</t>
  </si>
  <si>
    <t>Среднемесячная начисленная заработная плата работников малых предприятий (с учетом микропредприятий)</t>
  </si>
  <si>
    <t>Число действующих малых предприятий - всего (с учетом микропредприятий)</t>
  </si>
  <si>
    <t>Уд. вес выручки предприятий малого бизнеса (с учетом микропредприятий) в выручке  в целом по МО</t>
  </si>
  <si>
    <t xml:space="preserve">В том числе из общей численности работающих численность работников малых предприятий (с учетом микропредприятий)-всего, </t>
  </si>
  <si>
    <t>Среднесписочная численность работников (без внешних совместителей) по полному кругу организаций,</t>
  </si>
  <si>
    <t xml:space="preserve">Фонд начисленной заработной платы по полному кругу организаций, </t>
  </si>
  <si>
    <t>Фонд начисленной заработной платы работников малых предприятий (с учетом микропредприятий)</t>
  </si>
  <si>
    <t>Среднемесячная начисленная заработная плата (без выплат социального характера) по полному кругу организаций,</t>
  </si>
  <si>
    <t xml:space="preserve">Выручка от реализации продукции, работ, услуг (в действующих ценах) по полному кругу организаций, </t>
  </si>
  <si>
    <t xml:space="preserve">Выручка от реализации продукции, работ, услуг (в действующих ценах) предприятий малого бизнеса (с учетом микропредприятий) </t>
  </si>
  <si>
    <t>Уд. вес выручки предприятий микропредприятий в выручке  в целом по МО</t>
  </si>
  <si>
    <t>Фонд начисленной заработной платы работников сельского хозяйства</t>
  </si>
  <si>
    <t>в т.ч. по видам экономической деятельности в разрезе предприятий:</t>
  </si>
  <si>
    <t>Малый бизнес-всего (с учетом микропредприятий)</t>
  </si>
  <si>
    <t>Диагностика состояния экономики и предприятий муниципального образования</t>
  </si>
  <si>
    <t xml:space="preserve">Демография, трудовые ресурсы и уровень жизни населения </t>
  </si>
  <si>
    <t>Численность постоянного населения - всего</t>
  </si>
  <si>
    <t>2014 г.</t>
  </si>
  <si>
    <t>2015 г.</t>
  </si>
  <si>
    <t>Уровень регистрируемой безработицы (к трудоспособному населению)</t>
  </si>
  <si>
    <t>Фонд начисленной заработной платы работников бюджетной сферы</t>
  </si>
  <si>
    <t>2016 г.</t>
  </si>
  <si>
    <t>Прибыль прибыльных предприятий (с учетом предприятий малого бизнеса)</t>
  </si>
  <si>
    <t>Валовый совокупный доход (сумма ФОТ, выплат соцхарактера, прочих доходов)</t>
  </si>
  <si>
    <t>Земельный налог</t>
  </si>
  <si>
    <t>Налог на имущество физических лиц</t>
  </si>
  <si>
    <t>Единый налог на вмененный доход</t>
  </si>
  <si>
    <t>Налог, взимаемый в связи с применением патентной системы налогообложения</t>
  </si>
  <si>
    <t>1. Налог на доходы физических лиц</t>
  </si>
  <si>
    <t>2. Налоги на имущество:</t>
  </si>
  <si>
    <t>Доходный потенциал (объем налогов, формируемых на территории) - всего:</t>
  </si>
  <si>
    <t>(ред. от 29.06.2012)</t>
  </si>
  <si>
    <t>ст.3</t>
  </si>
  <si>
    <t>15 =
итог гр.10/
итог гр.9
* 100</t>
  </si>
  <si>
    <t>16 =
итог гр.11/
итог гр.10
* 100</t>
  </si>
  <si>
    <t>17 =
итог гр.12/
итог гр.11
* 100</t>
  </si>
  <si>
    <t>18 =
итог гр.13/
итог гр.12
* 100</t>
  </si>
  <si>
    <t>19 =
итог гр.14/
итог гр.13
* 100</t>
  </si>
  <si>
    <t>Доходный потенциал территориии</t>
  </si>
  <si>
    <t>3. Налоги со специальным режимом:</t>
  </si>
  <si>
    <t>Потенциал поступлений земельного налога</t>
  </si>
  <si>
    <t>из них по категориям работников:</t>
  </si>
  <si>
    <t xml:space="preserve">Среднемесячная начисленная заработная плата работников бюджетной сферы, финансируемой из консолидированного местного бюджета с учетом "дорожных карт" МО - всего, </t>
  </si>
  <si>
    <t>кадастровая стоимость земельных участков,
 признаваемых объектом налогообложения-всего</t>
  </si>
  <si>
    <t>Общая инвентаризационная стоимость строений, помещений и сооружений, по которым предъявлен налог к уплате</t>
  </si>
  <si>
    <t>Общая инвентаризационная стоимость объектов налогообложения</t>
  </si>
  <si>
    <t>2017 год</t>
  </si>
  <si>
    <t>2017 г.</t>
  </si>
  <si>
    <t>Факт 
2014 года</t>
  </si>
  <si>
    <t>2018 год</t>
  </si>
  <si>
    <t>2018 г.</t>
  </si>
  <si>
    <t>Факт 
2014 г.</t>
  </si>
  <si>
    <t>Наименование населенного пункта, где осуществляет деятельность предприятие</t>
  </si>
  <si>
    <t>Факт 
2015 года</t>
  </si>
  <si>
    <t>Оценка 
2016 года</t>
  </si>
  <si>
    <t>2019 год</t>
  </si>
  <si>
    <t>Прогноз предоставляется 
до 15 июля  2016 года</t>
  </si>
  <si>
    <t>Факт 
2015 г.</t>
  </si>
  <si>
    <t>Оценка 
2016 г.</t>
  </si>
  <si>
    <t>2019 г.</t>
  </si>
  <si>
    <t>Прогноз на 2017-2019 гг.</t>
  </si>
  <si>
    <t>Прогноз индекса производства</t>
  </si>
  <si>
    <t xml:space="preserve">Производство и распределение холодной воды </t>
  </si>
  <si>
    <t>Холодная вода - всего</t>
  </si>
  <si>
    <t xml:space="preserve">Объем произведенной продукции в сопоставимых ценах </t>
  </si>
  <si>
    <t>ООО "Билибино"</t>
  </si>
  <si>
    <t>город Тулун</t>
  </si>
  <si>
    <t>город Зима</t>
  </si>
  <si>
    <t>ООО "Солнышко"</t>
  </si>
  <si>
    <t>работает как ИП с 2014 года</t>
  </si>
  <si>
    <t>ОАО "Зиминский хлебозавод"</t>
  </si>
  <si>
    <t>ООО "Алросиб"</t>
  </si>
  <si>
    <t>закрыто в 2014г.</t>
  </si>
  <si>
    <t>ООО "Зиминский ЛДК"</t>
  </si>
  <si>
    <t>перерегистрация в ЛДК</t>
  </si>
  <si>
    <t>ООО "ЛДК"</t>
  </si>
  <si>
    <t>ООО "Меркурий"</t>
  </si>
  <si>
    <t>ООО "Тулу"</t>
  </si>
  <si>
    <t>ООО "Вуд Сервис"</t>
  </si>
  <si>
    <t>деят-ть не ведет</t>
  </si>
  <si>
    <t>ООО "Стим"</t>
  </si>
  <si>
    <t>деят-ть не ведет с 2015</t>
  </si>
  <si>
    <t>ООО "Восток сервис"</t>
  </si>
  <si>
    <t>ООО "Усто"</t>
  </si>
  <si>
    <t>ООО "Вега"</t>
  </si>
  <si>
    <t>открыто в декабре 2014г.</t>
  </si>
  <si>
    <t>ООО Лезхозтехника</t>
  </si>
  <si>
    <t>ООО Партнер</t>
  </si>
  <si>
    <t>Открыт в конце 2015 года</t>
  </si>
  <si>
    <t>ООО "СВ Сервис"</t>
  </si>
  <si>
    <t xml:space="preserve">зарег. в конце 2015 </t>
  </si>
  <si>
    <t>ООО Багратион</t>
  </si>
  <si>
    <t>ООО "Зиминский кирзавод</t>
  </si>
  <si>
    <t>ООО Стройпрофлист</t>
  </si>
  <si>
    <t>нет данных</t>
  </si>
  <si>
    <t>ООО "Саянский ЛДК"</t>
  </si>
  <si>
    <t>ООО "Печатный дом"</t>
  </si>
  <si>
    <t>ООО "Типография - Зима"</t>
  </si>
  <si>
    <t>ООО "Зимаформопак"</t>
  </si>
  <si>
    <t>ООО "Лавр"</t>
  </si>
  <si>
    <t>ООО "Мебель Лавр"</t>
  </si>
  <si>
    <t>ООО "Водоснабжение"</t>
  </si>
  <si>
    <t>ООО "Восточный теплопровод"</t>
  </si>
  <si>
    <t>ООО "Зиматеплоэнерго"</t>
  </si>
  <si>
    <t>ООО "Теплоэнерго"</t>
  </si>
  <si>
    <t>ООО "Энергия"</t>
  </si>
  <si>
    <t>ООО "Зиматрансвод"</t>
  </si>
  <si>
    <t>ООО Зимаэнерго</t>
  </si>
  <si>
    <t>ООО "СПМК"</t>
  </si>
  <si>
    <t>ООО "Вымпел"</t>
  </si>
  <si>
    <t>ООО "Асстрой"</t>
  </si>
  <si>
    <t>данные не дают</t>
  </si>
  <si>
    <t>ООО "Зодчий"</t>
  </si>
  <si>
    <t>ООО "Регионспецстрой"</t>
  </si>
  <si>
    <t>ООО "Марс"</t>
  </si>
  <si>
    <t>ООО Владгрупп</t>
  </si>
  <si>
    <t>ООО Зима Строй</t>
  </si>
  <si>
    <t>зарег. в конце 2015г.</t>
  </si>
  <si>
    <t>ООО Инвестспецстрой архитектура</t>
  </si>
  <si>
    <t>заработал в 2016 году</t>
  </si>
  <si>
    <t>ООО СМЭП Дельта</t>
  </si>
  <si>
    <t>ООО "Авто"</t>
  </si>
  <si>
    <t>закрыто в 1 кв. 2015 года</t>
  </si>
  <si>
    <t>ООО Антей</t>
  </si>
  <si>
    <t>ООО "Анжи"</t>
  </si>
  <si>
    <t>ООО Армада</t>
  </si>
  <si>
    <t>ООО "Транслес"</t>
  </si>
  <si>
    <t>деят-ть преостановлена</t>
  </si>
  <si>
    <t>ООО "Леспромтранс"</t>
  </si>
  <si>
    <t>МУ "Автопарк администрации"</t>
  </si>
  <si>
    <t>ООО "Ландыш"</t>
  </si>
  <si>
    <t>ООО "Техтранс"</t>
  </si>
  <si>
    <t>ООО Эколайн</t>
  </si>
  <si>
    <t>ООО "Континент МТ"</t>
  </si>
  <si>
    <t>ООО "Спектр плюс"</t>
  </si>
  <si>
    <t>ООО "Золотое дело"</t>
  </si>
  <si>
    <t>ООО "Динамика"</t>
  </si>
  <si>
    <t>ООО "Успех"</t>
  </si>
  <si>
    <t>ООО "Пегас"</t>
  </si>
  <si>
    <t>ООО "Антей"</t>
  </si>
  <si>
    <t>ООО "Армада"</t>
  </si>
  <si>
    <t>ООО "Гарантлестранс"</t>
  </si>
  <si>
    <t>ООО "Компания Байкал Форест"</t>
  </si>
  <si>
    <t>ООО "Магнат"</t>
  </si>
  <si>
    <t>ООО "Массив"</t>
  </si>
  <si>
    <t>ООО "Новатор"</t>
  </si>
  <si>
    <t xml:space="preserve">закрыто </t>
  </si>
  <si>
    <t>ООО "Экостимул"</t>
  </si>
  <si>
    <t>закрыто</t>
  </si>
  <si>
    <t>ООО "Эколайн"</t>
  </si>
  <si>
    <t>ООО "Тыпта"</t>
  </si>
  <si>
    <t xml:space="preserve">перерегистрация </t>
  </si>
  <si>
    <t>ООО Трейд</t>
  </si>
  <si>
    <t>ООО "Техносервис"</t>
  </si>
  <si>
    <t>перерегистрация</t>
  </si>
  <si>
    <t>ООО Гранд +</t>
  </si>
  <si>
    <t>ООО "Грин Голд"</t>
  </si>
  <si>
    <t>ООО "Абсолют"</t>
  </si>
  <si>
    <t>ООО Альфа (торг лес)</t>
  </si>
  <si>
    <t>зарег в конце 2015г.</t>
  </si>
  <si>
    <t>ООО "Абсент"</t>
  </si>
  <si>
    <t>ООО АЗС Зима</t>
  </si>
  <si>
    <t>ООО "Альянс"</t>
  </si>
  <si>
    <t>ООО "Ангара +"</t>
  </si>
  <si>
    <t>ООО "Астарта"</t>
  </si>
  <si>
    <t>Аптека №15</t>
  </si>
  <si>
    <t>с 2015 г. деят-ть не ведет</t>
  </si>
  <si>
    <t xml:space="preserve">ООО "Баргузин" </t>
  </si>
  <si>
    <t>ООО "Багульник"</t>
  </si>
  <si>
    <t>ООО "Байкаллесэкспорт"</t>
  </si>
  <si>
    <t>ООО "Времена года"</t>
  </si>
  <si>
    <t>ООО "Василиса"</t>
  </si>
  <si>
    <t>ООО "Высота"</t>
  </si>
  <si>
    <t>ООО "Вест"</t>
  </si>
  <si>
    <t>ООО "Весна"</t>
  </si>
  <si>
    <t xml:space="preserve">ООО "Гурман" </t>
  </si>
  <si>
    <t>ООО "Груз шина"</t>
  </si>
  <si>
    <t>ООО "Дуэт"</t>
  </si>
  <si>
    <t>ООО "Дионис"</t>
  </si>
  <si>
    <t>ООО "Елочка"</t>
  </si>
  <si>
    <t xml:space="preserve">ООО "Империя"                 </t>
  </si>
  <si>
    <t>ООО "Импульс"</t>
  </si>
  <si>
    <t>ООО "Исток"</t>
  </si>
  <si>
    <t>ООО "Индустрия"</t>
  </si>
  <si>
    <t>закрыто в 2013г.</t>
  </si>
  <si>
    <t>ООО "Иркутскнефтепродукт"</t>
  </si>
  <si>
    <t>ООО "Иркутнефтепродукт +"</t>
  </si>
  <si>
    <t xml:space="preserve">ООО "Калинка"                </t>
  </si>
  <si>
    <t>ООО "Каспий"</t>
  </si>
  <si>
    <t xml:space="preserve">ООО "Каскад и Ко" </t>
  </si>
  <si>
    <t>ООО "Конкурент"</t>
  </si>
  <si>
    <t>ООО "Комсистем"</t>
  </si>
  <si>
    <t>ООО "Келлер"</t>
  </si>
  <si>
    <t>ООО "Комфорт"</t>
  </si>
  <si>
    <t xml:space="preserve">ООО "Кредо"  </t>
  </si>
  <si>
    <t>ООО "Леспром +"</t>
  </si>
  <si>
    <t>ООО "Лаверна"</t>
  </si>
  <si>
    <t>ООО "Лесконтракт"</t>
  </si>
  <si>
    <t>ООО "Лира"</t>
  </si>
  <si>
    <t>ООО "Лига"</t>
  </si>
  <si>
    <t>ООО Лессервис"</t>
  </si>
  <si>
    <t>ООО "Ломбард-мир золота"</t>
  </si>
  <si>
    <t xml:space="preserve">ООО МБА       </t>
  </si>
  <si>
    <t>ООО "Марго"</t>
  </si>
  <si>
    <t>ООО "Метелица"</t>
  </si>
  <si>
    <t>ООО "Магнит"</t>
  </si>
  <si>
    <t>ООО "Моя оптика"</t>
  </si>
  <si>
    <t>ООО "На углу"</t>
  </si>
  <si>
    <t>ООО "Новый формат"</t>
  </si>
  <si>
    <t>ООО "Орбита"</t>
  </si>
  <si>
    <t>ООО "Окинское"</t>
  </si>
  <si>
    <t>ООО "Олимп"</t>
  </si>
  <si>
    <t>ООО "Остров"</t>
  </si>
  <si>
    <t xml:space="preserve">ООО "Прайд"     </t>
  </si>
  <si>
    <t>ООО "Привал"</t>
  </si>
  <si>
    <t>ООО "Поток"</t>
  </si>
  <si>
    <t>ООО "Параллель"</t>
  </si>
  <si>
    <t>ООО "Ручеек"</t>
  </si>
  <si>
    <t>ООО "Рассвет"</t>
  </si>
  <si>
    <t xml:space="preserve">ООО "Сатурн" </t>
  </si>
  <si>
    <t>ООО "Салми"</t>
  </si>
  <si>
    <t xml:space="preserve">ООО "СибЕвроАзия" </t>
  </si>
  <si>
    <t>ООО "Спектр"</t>
  </si>
  <si>
    <t>ООО "Триада"</t>
  </si>
  <si>
    <t>ООО ТД "Викан"</t>
  </si>
  <si>
    <t>ООО ТД "Окинский"</t>
  </si>
  <si>
    <t>ООО ТД "Фортуна"</t>
  </si>
  <si>
    <t>ООО ТрейдРосЛес</t>
  </si>
  <si>
    <t>ООО "Сибирский бизнес регион"</t>
  </si>
  <si>
    <t>ООО "Универсал"</t>
  </si>
  <si>
    <t>ООО "Удачное"</t>
  </si>
  <si>
    <t>ООО "Фарт"</t>
  </si>
  <si>
    <t>ООО "Хан"</t>
  </si>
  <si>
    <t>ООО "Холод"</t>
  </si>
  <si>
    <t xml:space="preserve">ООО "Чарли" </t>
  </si>
  <si>
    <t>ООО "ШАИ"</t>
  </si>
  <si>
    <t>ООО "Этэрия"</t>
  </si>
  <si>
    <t>ООО "Янта ФОС"</t>
  </si>
  <si>
    <t xml:space="preserve">ООО "Континент" </t>
  </si>
  <si>
    <t>ООО "Колибри"</t>
  </si>
  <si>
    <t xml:space="preserve">ООО "Перекресток"  </t>
  </si>
  <si>
    <t>ООО "Даурия"</t>
  </si>
  <si>
    <t xml:space="preserve">ООО "Меркурий"(Андрейчук )  </t>
  </si>
  <si>
    <t>ООО "Атол"</t>
  </si>
  <si>
    <t>ООО " Алинас Зима"</t>
  </si>
  <si>
    <t xml:space="preserve">ООО "Содружество" </t>
  </si>
  <si>
    <t>ООО "Стандарт</t>
  </si>
  <si>
    <t>деят-ть с 2016</t>
  </si>
  <si>
    <t>ООО Стройсистема</t>
  </si>
  <si>
    <t>ЗАО "Лена"</t>
  </si>
  <si>
    <t>ООО "Орион"</t>
  </si>
  <si>
    <t>ООО "Торговые ряды"</t>
  </si>
  <si>
    <t>ООО "Торговая комплекс"</t>
  </si>
  <si>
    <t xml:space="preserve">ООО "Уют" </t>
  </si>
  <si>
    <t>ООО "УК  "Восточная"</t>
  </si>
  <si>
    <t>ООО "УК "Западная"</t>
  </si>
  <si>
    <t>ООО "Зима сервис"</t>
  </si>
  <si>
    <t xml:space="preserve">ООО "Шаст" </t>
  </si>
  <si>
    <t>ООО "Шаст -плюс"</t>
  </si>
  <si>
    <t>ООО "Профит"</t>
  </si>
  <si>
    <t>ООО "Компания бух.учет"</t>
  </si>
  <si>
    <t>ООО "Бухгалтерская служба"</t>
  </si>
  <si>
    <t>ООО "Геокадастр"</t>
  </si>
  <si>
    <t>ООО Ломбард  - мир золота</t>
  </si>
  <si>
    <t>ООО "Водоотведение"</t>
  </si>
  <si>
    <t>ООО "Стоки"</t>
  </si>
  <si>
    <t xml:space="preserve">ООО "Коммунальный транспорт" </t>
  </si>
  <si>
    <t>закрыто в ноябре 2014г.</t>
  </si>
  <si>
    <t>ООО"КОММУНАЛЬНЫЙ ТРАНСПОРТ"</t>
  </si>
  <si>
    <t>Об-во охотников и рыболовов</t>
  </si>
  <si>
    <t>АНО "Дельта"</t>
  </si>
  <si>
    <t>АНО "Межмуниципальный фонд"</t>
  </si>
  <si>
    <t>АНО "Учебный центр"</t>
  </si>
  <si>
    <t xml:space="preserve">ЗАО "Структура" </t>
  </si>
  <si>
    <t>АНО Адвокадское бюро "ЗимаЮрЦентр"</t>
  </si>
  <si>
    <t>ООО "МФО КредитСервис"</t>
  </si>
  <si>
    <t xml:space="preserve">Прочие </t>
  </si>
  <si>
    <t>ВСЕГО:</t>
  </si>
  <si>
    <t xml:space="preserve">Лесное хозяйство  </t>
  </si>
  <si>
    <t xml:space="preserve">Добыча полезных 
ископаемых </t>
  </si>
  <si>
    <t xml:space="preserve">Производство и распределение электроэнергии, газа и воды </t>
  </si>
  <si>
    <t xml:space="preserve">Торговля </t>
  </si>
  <si>
    <t xml:space="preserve">Строительство </t>
  </si>
  <si>
    <t xml:space="preserve">Транспорт и связь </t>
  </si>
  <si>
    <t xml:space="preserve">* По информации МИФНС России №14 по Иркутской области прогнозировать рост или снижение кадастровой и имущественной инвентаризационной стоимости объектов налогообложения имущественных налогов не представляется возможным, в связи с получением данных от рег.органов в электронном формате. </t>
  </si>
  <si>
    <t>нет данных*</t>
  </si>
  <si>
    <t>Прогноз социально-экономического развитя Зиминского городского муниципального образования   на 2017-2019 гг.</t>
  </si>
  <si>
    <t>Форма прогноза 
до 2019 г.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</si>
</sst>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0.0000"/>
    <numFmt numFmtId="167" formatCode="0.0000000"/>
  </numFmts>
  <fonts count="41"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  <charset val="204"/>
    </font>
    <font>
      <b/>
      <u/>
      <sz val="14"/>
      <name val="Times New Roman"/>
      <family val="1"/>
    </font>
    <font>
      <u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sz val="8"/>
      <name val="Arial Cyr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b/>
      <sz val="22"/>
      <name val="Arial Cyr"/>
      <family val="2"/>
      <charset val="204"/>
    </font>
    <font>
      <b/>
      <sz val="16"/>
      <name val="Arial Cyr"/>
      <family val="2"/>
      <charset val="204"/>
    </font>
    <font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u/>
      <sz val="14"/>
      <name val="Times New Roman"/>
      <family val="1"/>
      <charset val="204"/>
    </font>
    <font>
      <b/>
      <sz val="16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Arial Cyr"/>
      <charset val="204"/>
    </font>
    <font>
      <i/>
      <sz val="12"/>
      <name val="Times New Roman"/>
      <family val="1"/>
      <charset val="204"/>
    </font>
    <font>
      <b/>
      <sz val="20"/>
      <name val="Times New Roman"/>
      <family val="1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23"/>
      </top>
      <bottom style="dashed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23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23"/>
      </bottom>
      <diagonal/>
    </border>
    <border>
      <left style="thin">
        <color indexed="64"/>
      </left>
      <right/>
      <top style="dashed">
        <color indexed="23"/>
      </top>
      <bottom style="dashed">
        <color indexed="23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23"/>
      </bottom>
      <diagonal/>
    </border>
    <border>
      <left style="thin">
        <color indexed="64"/>
      </left>
      <right style="thin">
        <color indexed="64"/>
      </right>
      <top style="dashed">
        <color indexed="55"/>
      </top>
      <bottom style="dashed">
        <color indexed="23"/>
      </bottom>
      <diagonal/>
    </border>
    <border>
      <left style="thin">
        <color indexed="64"/>
      </left>
      <right style="thin">
        <color indexed="64"/>
      </right>
      <top style="dashed">
        <color indexed="23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ashed">
        <color indexed="23"/>
      </top>
      <bottom style="dashed">
        <color indexed="23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13" fillId="0" borderId="0" xfId="0" applyFont="1"/>
    <xf numFmtId="0" fontId="22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/>
    </xf>
    <xf numFmtId="0" fontId="22" fillId="0" borderId="3" xfId="0" applyFont="1" applyBorder="1" applyAlignment="1">
      <alignment wrapText="1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wrapText="1"/>
    </xf>
    <xf numFmtId="0" fontId="20" fillId="0" borderId="4" xfId="0" applyFont="1" applyBorder="1" applyAlignment="1">
      <alignment wrapText="1"/>
    </xf>
    <xf numFmtId="0" fontId="20" fillId="0" borderId="4" xfId="0" applyFont="1" applyBorder="1" applyAlignment="1">
      <alignment horizontal="center"/>
    </xf>
    <xf numFmtId="0" fontId="22" fillId="0" borderId="3" xfId="0" applyFont="1" applyBorder="1" applyAlignment="1">
      <alignment vertical="top" wrapText="1"/>
    </xf>
    <xf numFmtId="0" fontId="20" fillId="0" borderId="5" xfId="0" applyFont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17" fillId="0" borderId="0" xfId="0" applyFont="1"/>
    <xf numFmtId="0" fontId="20" fillId="0" borderId="0" xfId="0" applyFont="1" applyBorder="1" applyAlignment="1">
      <alignment horizontal="center"/>
    </xf>
    <xf numFmtId="0" fontId="23" fillId="0" borderId="0" xfId="0" applyFont="1" applyBorder="1"/>
    <xf numFmtId="0" fontId="24" fillId="0" borderId="0" xfId="0" applyFont="1" applyFill="1"/>
    <xf numFmtId="0" fontId="21" fillId="0" borderId="5" xfId="0" applyFont="1" applyBorder="1" applyAlignment="1">
      <alignment wrapText="1"/>
    </xf>
    <xf numFmtId="0" fontId="21" fillId="0" borderId="5" xfId="0" applyFont="1" applyBorder="1" applyAlignment="1">
      <alignment vertical="center" wrapText="1"/>
    </xf>
    <xf numFmtId="0" fontId="21" fillId="0" borderId="6" xfId="0" applyFont="1" applyBorder="1" applyAlignment="1">
      <alignment wrapText="1"/>
    </xf>
    <xf numFmtId="0" fontId="20" fillId="0" borderId="7" xfId="0" applyFont="1" applyBorder="1"/>
    <xf numFmtId="0" fontId="20" fillId="0" borderId="8" xfId="0" applyFont="1" applyBorder="1"/>
    <xf numFmtId="0" fontId="23" fillId="0" borderId="8" xfId="0" applyFont="1" applyBorder="1"/>
    <xf numFmtId="0" fontId="27" fillId="0" borderId="0" xfId="0" applyFont="1" applyAlignment="1">
      <alignment horizontal="center" vertical="center" wrapText="1"/>
    </xf>
    <xf numFmtId="0" fontId="28" fillId="0" borderId="9" xfId="0" applyFont="1" applyBorder="1" applyAlignment="1">
      <alignment vertical="center" wrapText="1"/>
    </xf>
    <xf numFmtId="0" fontId="13" fillId="0" borderId="10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Fill="1"/>
    <xf numFmtId="0" fontId="16" fillId="0" borderId="0" xfId="0" applyFont="1" applyFill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49" fontId="10" fillId="0" borderId="9" xfId="0" applyNumberFormat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wrapText="1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9" xfId="0" applyFont="1" applyBorder="1" applyAlignment="1">
      <alignment horizontal="right" wrapText="1"/>
    </xf>
    <xf numFmtId="0" fontId="5" fillId="0" borderId="9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justify" wrapText="1"/>
    </xf>
    <xf numFmtId="0" fontId="5" fillId="0" borderId="9" xfId="0" applyFont="1" applyFill="1" applyBorder="1" applyAlignment="1">
      <alignment horizontal="justify" vertical="center" wrapText="1"/>
    </xf>
    <xf numFmtId="0" fontId="5" fillId="0" borderId="9" xfId="0" applyFont="1" applyBorder="1" applyAlignment="1">
      <alignment horizontal="justify"/>
    </xf>
    <xf numFmtId="0" fontId="5" fillId="0" borderId="9" xfId="0" applyFont="1" applyBorder="1" applyAlignment="1">
      <alignment horizontal="justify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right" vertical="center" wrapText="1"/>
    </xf>
    <xf numFmtId="0" fontId="22" fillId="0" borderId="18" xfId="0" applyFont="1" applyBorder="1" applyAlignment="1">
      <alignment wrapText="1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35" fillId="0" borderId="9" xfId="0" applyFont="1" applyFill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29" fillId="0" borderId="21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vertical="center" wrapText="1"/>
    </xf>
    <xf numFmtId="0" fontId="13" fillId="0" borderId="23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vertical="center" wrapText="1"/>
    </xf>
    <xf numFmtId="0" fontId="16" fillId="0" borderId="19" xfId="0" applyFont="1" applyFill="1" applyBorder="1" applyAlignment="1">
      <alignment vertical="center" wrapText="1"/>
    </xf>
    <xf numFmtId="0" fontId="16" fillId="0" borderId="21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30" fillId="0" borderId="15" xfId="0" applyFont="1" applyBorder="1" applyAlignment="1">
      <alignment horizontal="justify" vertical="center" wrapText="1"/>
    </xf>
    <xf numFmtId="0" fontId="35" fillId="0" borderId="28" xfId="0" applyFont="1" applyBorder="1" applyAlignment="1">
      <alignment horizontal="left" vertical="center" wrapText="1"/>
    </xf>
    <xf numFmtId="0" fontId="32" fillId="0" borderId="9" xfId="0" applyFont="1" applyBorder="1" applyAlignment="1">
      <alignment vertical="center" wrapText="1"/>
    </xf>
    <xf numFmtId="0" fontId="32" fillId="0" borderId="9" xfId="0" applyFont="1" applyBorder="1" applyAlignment="1">
      <alignment horizontal="right" vertical="center" wrapText="1"/>
    </xf>
    <xf numFmtId="0" fontId="32" fillId="0" borderId="29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/>
    </xf>
    <xf numFmtId="0" fontId="0" fillId="0" borderId="8" xfId="0" applyBorder="1"/>
    <xf numFmtId="0" fontId="30" fillId="0" borderId="9" xfId="0" applyFont="1" applyBorder="1" applyAlignment="1">
      <alignment vertical="center" wrapText="1"/>
    </xf>
    <xf numFmtId="0" fontId="29" fillId="0" borderId="1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vertical="center" wrapText="1"/>
    </xf>
    <xf numFmtId="0" fontId="29" fillId="0" borderId="10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36" fillId="0" borderId="3" xfId="0" applyNumberFormat="1" applyFont="1" applyBorder="1"/>
    <xf numFmtId="4" fontId="36" fillId="2" borderId="3" xfId="0" applyNumberFormat="1" applyFont="1" applyFill="1" applyBorder="1"/>
    <xf numFmtId="4" fontId="37" fillId="0" borderId="5" xfId="0" applyNumberFormat="1" applyFont="1" applyBorder="1"/>
    <xf numFmtId="4" fontId="37" fillId="2" borderId="3" xfId="0" applyNumberFormat="1" applyFont="1" applyFill="1" applyBorder="1"/>
    <xf numFmtId="4" fontId="37" fillId="0" borderId="18" xfId="0" applyNumberFormat="1" applyFont="1" applyBorder="1"/>
    <xf numFmtId="4" fontId="38" fillId="0" borderId="5" xfId="0" applyNumberFormat="1" applyFont="1" applyBorder="1"/>
    <xf numFmtId="4" fontId="38" fillId="0" borderId="5" xfId="0" applyNumberFormat="1" applyFont="1" applyFill="1" applyBorder="1"/>
    <xf numFmtId="4" fontId="37" fillId="3" borderId="18" xfId="0" applyNumberFormat="1" applyFont="1" applyFill="1" applyBorder="1"/>
    <xf numFmtId="4" fontId="37" fillId="0" borderId="3" xfId="0" applyNumberFormat="1" applyFont="1" applyBorder="1"/>
    <xf numFmtId="4" fontId="38" fillId="0" borderId="18" xfId="0" applyNumberFormat="1" applyFont="1" applyBorder="1"/>
    <xf numFmtId="4" fontId="36" fillId="0" borderId="2" xfId="0" applyNumberFormat="1" applyFont="1" applyBorder="1"/>
    <xf numFmtId="0" fontId="36" fillId="0" borderId="18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/>
    </xf>
    <xf numFmtId="0" fontId="36" fillId="0" borderId="18" xfId="0" applyFont="1" applyFill="1" applyBorder="1" applyAlignment="1">
      <alignment horizontal="center" vertical="center" wrapText="1"/>
    </xf>
    <xf numFmtId="2" fontId="38" fillId="2" borderId="18" xfId="0" applyNumberFormat="1" applyFont="1" applyFill="1" applyBorder="1"/>
    <xf numFmtId="0" fontId="16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2" fontId="13" fillId="0" borderId="22" xfId="0" applyNumberFormat="1" applyFont="1" applyFill="1" applyBorder="1" applyAlignment="1">
      <alignment horizontal="center" vertical="center" wrapText="1"/>
    </xf>
    <xf numFmtId="2" fontId="13" fillId="0" borderId="19" xfId="0" applyNumberFormat="1" applyFont="1" applyFill="1" applyBorder="1" applyAlignment="1">
      <alignment horizontal="center" vertical="center" wrapText="1"/>
    </xf>
    <xf numFmtId="165" fontId="13" fillId="0" borderId="22" xfId="0" applyNumberFormat="1" applyFont="1" applyFill="1" applyBorder="1" applyAlignment="1">
      <alignment horizontal="center" vertical="center" wrapText="1"/>
    </xf>
    <xf numFmtId="165" fontId="13" fillId="0" borderId="19" xfId="0" applyNumberFormat="1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vertical="center"/>
    </xf>
    <xf numFmtId="2" fontId="29" fillId="0" borderId="10" xfId="0" applyNumberFormat="1" applyFont="1" applyFill="1" applyBorder="1" applyAlignment="1">
      <alignment vertical="center"/>
    </xf>
    <xf numFmtId="2" fontId="13" fillId="0" borderId="10" xfId="0" applyNumberFormat="1" applyFont="1" applyFill="1" applyBorder="1" applyAlignment="1">
      <alignment vertical="center"/>
    </xf>
    <xf numFmtId="165" fontId="13" fillId="0" borderId="10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165" fontId="29" fillId="0" borderId="10" xfId="0" applyNumberFormat="1" applyFont="1" applyFill="1" applyBorder="1" applyAlignment="1">
      <alignment vertical="center"/>
    </xf>
    <xf numFmtId="0" fontId="30" fillId="0" borderId="24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vertical="center" wrapText="1"/>
    </xf>
    <xf numFmtId="2" fontId="30" fillId="0" borderId="10" xfId="0" applyNumberFormat="1" applyFont="1" applyFill="1" applyBorder="1" applyAlignment="1">
      <alignment vertical="center"/>
    </xf>
    <xf numFmtId="0" fontId="29" fillId="0" borderId="38" xfId="0" applyFont="1" applyFill="1" applyBorder="1" applyAlignment="1">
      <alignment vertical="center" wrapText="1"/>
    </xf>
    <xf numFmtId="0" fontId="29" fillId="0" borderId="10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vertical="center" wrapText="1"/>
    </xf>
    <xf numFmtId="0" fontId="34" fillId="0" borderId="10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2" fontId="32" fillId="0" borderId="10" xfId="0" applyNumberFormat="1" applyFont="1" applyFill="1" applyBorder="1" applyAlignment="1">
      <alignment vertical="center"/>
    </xf>
    <xf numFmtId="0" fontId="30" fillId="0" borderId="21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vertical="center" wrapText="1"/>
    </xf>
    <xf numFmtId="0" fontId="30" fillId="0" borderId="21" xfId="0" applyFont="1" applyFill="1" applyBorder="1" applyAlignment="1">
      <alignment horizontal="left" vertical="center" wrapText="1"/>
    </xf>
    <xf numFmtId="165" fontId="30" fillId="0" borderId="10" xfId="0" applyNumberFormat="1" applyFont="1" applyFill="1" applyBorder="1" applyAlignment="1">
      <alignment vertical="center"/>
    </xf>
    <xf numFmtId="0" fontId="13" fillId="0" borderId="21" xfId="0" applyFont="1" applyFill="1" applyBorder="1" applyAlignment="1">
      <alignment vertical="center" wrapText="1"/>
    </xf>
    <xf numFmtId="2" fontId="29" fillId="0" borderId="23" xfId="0" applyNumberFormat="1" applyFont="1" applyFill="1" applyBorder="1" applyAlignment="1">
      <alignment vertical="center"/>
    </xf>
    <xf numFmtId="0" fontId="29" fillId="0" borderId="10" xfId="0" applyFont="1" applyFill="1" applyBorder="1" applyAlignment="1">
      <alignment horizontal="center" vertical="center" wrapText="1"/>
    </xf>
    <xf numFmtId="2" fontId="29" fillId="5" borderId="10" xfId="0" applyNumberFormat="1" applyFont="1" applyFill="1" applyBorder="1" applyAlignment="1">
      <alignment vertical="center"/>
    </xf>
    <xf numFmtId="2" fontId="13" fillId="5" borderId="10" xfId="0" applyNumberFormat="1" applyFont="1" applyFill="1" applyBorder="1" applyAlignment="1">
      <alignment vertical="center"/>
    </xf>
    <xf numFmtId="0" fontId="29" fillId="0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left" vertical="justify"/>
    </xf>
    <xf numFmtId="0" fontId="34" fillId="0" borderId="10" xfId="0" applyFont="1" applyFill="1" applyBorder="1" applyAlignment="1">
      <alignment horizontal="left" vertical="justify"/>
    </xf>
    <xf numFmtId="0" fontId="34" fillId="0" borderId="1" xfId="0" applyFont="1" applyFill="1" applyBorder="1" applyAlignment="1">
      <alignment horizontal="left" vertical="top" wrapText="1"/>
    </xf>
    <xf numFmtId="0" fontId="34" fillId="0" borderId="10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left" vertical="justify" wrapText="1"/>
    </xf>
    <xf numFmtId="0" fontId="34" fillId="0" borderId="10" xfId="0" applyFont="1" applyFill="1" applyBorder="1" applyAlignment="1">
      <alignment horizontal="left" vertical="justify" wrapText="1"/>
    </xf>
    <xf numFmtId="0" fontId="34" fillId="0" borderId="20" xfId="0" applyFont="1" applyFill="1" applyBorder="1" applyAlignment="1">
      <alignment horizontal="left" vertical="justify" wrapText="1"/>
    </xf>
    <xf numFmtId="0" fontId="34" fillId="0" borderId="20" xfId="0" applyFont="1" applyFill="1" applyBorder="1" applyAlignment="1">
      <alignment horizontal="left" vertical="top" wrapText="1"/>
    </xf>
    <xf numFmtId="0" fontId="34" fillId="0" borderId="11" xfId="0" applyFont="1" applyFill="1" applyBorder="1" applyAlignment="1">
      <alignment horizontal="left" vertical="top" wrapText="1"/>
    </xf>
    <xf numFmtId="0" fontId="34" fillId="0" borderId="20" xfId="0" applyFont="1" applyFill="1" applyBorder="1" applyAlignment="1">
      <alignment horizontal="left" vertical="justify"/>
    </xf>
    <xf numFmtId="0" fontId="34" fillId="0" borderId="21" xfId="0" applyFont="1" applyFill="1" applyBorder="1" applyAlignment="1">
      <alignment horizontal="left" vertical="justify" wrapText="1"/>
    </xf>
    <xf numFmtId="166" fontId="13" fillId="0" borderId="10" xfId="0" applyNumberFormat="1" applyFont="1" applyFill="1" applyBorder="1" applyAlignment="1">
      <alignment vertical="center"/>
    </xf>
    <xf numFmtId="2" fontId="13" fillId="0" borderId="23" xfId="0" applyNumberFormat="1" applyFont="1" applyFill="1" applyBorder="1" applyAlignment="1">
      <alignment vertical="center"/>
    </xf>
    <xf numFmtId="0" fontId="39" fillId="4" borderId="1" xfId="0" applyFont="1" applyFill="1" applyBorder="1" applyAlignment="1">
      <alignment horizontal="left" vertical="top" wrapText="1"/>
    </xf>
    <xf numFmtId="0" fontId="39" fillId="0" borderId="10" xfId="0" applyFont="1" applyFill="1" applyBorder="1" applyAlignment="1">
      <alignment horizontal="left" vertical="top" wrapText="1"/>
    </xf>
    <xf numFmtId="0" fontId="34" fillId="4" borderId="1" xfId="0" applyFont="1" applyFill="1" applyBorder="1" applyAlignment="1">
      <alignment horizontal="left" vertical="top" wrapText="1"/>
    </xf>
    <xf numFmtId="0" fontId="34" fillId="0" borderId="21" xfId="0" applyFont="1" applyFill="1" applyBorder="1" applyAlignment="1">
      <alignment horizontal="left" vertical="top" wrapText="1"/>
    </xf>
    <xf numFmtId="167" fontId="13" fillId="0" borderId="10" xfId="0" applyNumberFormat="1" applyFont="1" applyFill="1" applyBorder="1" applyAlignment="1">
      <alignment vertical="center"/>
    </xf>
    <xf numFmtId="0" fontId="34" fillId="0" borderId="1" xfId="0" applyFont="1" applyFill="1" applyBorder="1" applyAlignment="1">
      <alignment horizontal="left" vertical="center" wrapText="1"/>
    </xf>
    <xf numFmtId="0" fontId="29" fillId="0" borderId="38" xfId="0" applyFont="1" applyFill="1" applyBorder="1" applyAlignment="1">
      <alignment horizontal="left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vertical="center" wrapText="1"/>
    </xf>
    <xf numFmtId="0" fontId="16" fillId="0" borderId="39" xfId="0" applyFont="1" applyFill="1" applyBorder="1" applyAlignment="1">
      <alignment vertical="center" wrapText="1"/>
    </xf>
    <xf numFmtId="2" fontId="29" fillId="0" borderId="12" xfId="0" applyNumberFormat="1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2" fontId="14" fillId="0" borderId="0" xfId="0" applyNumberFormat="1" applyFont="1" applyFill="1" applyAlignment="1">
      <alignment vertical="center"/>
    </xf>
    <xf numFmtId="0" fontId="29" fillId="0" borderId="21" xfId="0" applyFont="1" applyFill="1" applyBorder="1" applyAlignment="1">
      <alignment vertical="center" wrapText="1"/>
    </xf>
    <xf numFmtId="165" fontId="13" fillId="0" borderId="19" xfId="0" applyNumberFormat="1" applyFont="1" applyFill="1" applyBorder="1" applyAlignment="1">
      <alignment vertical="center"/>
    </xf>
    <xf numFmtId="165" fontId="34" fillId="0" borderId="10" xfId="0" applyNumberFormat="1" applyFont="1" applyFill="1" applyBorder="1" applyAlignment="1">
      <alignment vertical="center"/>
    </xf>
    <xf numFmtId="165" fontId="13" fillId="0" borderId="11" xfId="0" applyNumberFormat="1" applyFont="1" applyFill="1" applyBorder="1" applyAlignment="1">
      <alignment vertical="center"/>
    </xf>
    <xf numFmtId="165" fontId="34" fillId="0" borderId="40" xfId="0" applyNumberFormat="1" applyFont="1" applyFill="1" applyBorder="1" applyAlignment="1">
      <alignment vertical="center"/>
    </xf>
    <xf numFmtId="165" fontId="29" fillId="0" borderId="25" xfId="0" applyNumberFormat="1" applyFont="1" applyFill="1" applyBorder="1" applyAlignment="1">
      <alignment vertical="center"/>
    </xf>
    <xf numFmtId="165" fontId="13" fillId="0" borderId="40" xfId="0" applyNumberFormat="1" applyFont="1" applyFill="1" applyBorder="1" applyAlignment="1">
      <alignment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37" fillId="2" borderId="2" xfId="0" applyNumberFormat="1" applyFont="1" applyFill="1" applyBorder="1"/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1" fillId="0" borderId="0" xfId="0" applyFont="1" applyFill="1" applyAlignment="1">
      <alignment horizontal="justify" vertical="top" wrapText="1"/>
    </xf>
    <xf numFmtId="0" fontId="4" fillId="0" borderId="2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0" fillId="0" borderId="34" xfId="0" applyFont="1" applyFill="1" applyBorder="1" applyAlignment="1">
      <alignment horizontal="left" vertical="center" wrapText="1"/>
    </xf>
    <xf numFmtId="0" fontId="40" fillId="0" borderId="0" xfId="0" applyFont="1" applyBorder="1" applyAlignment="1">
      <alignment horizontal="left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0" fillId="0" borderId="38" xfId="0" applyFont="1" applyFill="1" applyBorder="1" applyAlignment="1">
      <alignment horizontal="left" vertical="center" wrapText="1"/>
    </xf>
    <xf numFmtId="0" fontId="0" fillId="0" borderId="24" xfId="0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16" fillId="0" borderId="0" xfId="0" applyFont="1" applyAlignment="1">
      <alignment horizontal="right" vertical="center" wrapText="1"/>
    </xf>
    <xf numFmtId="0" fontId="0" fillId="0" borderId="0" xfId="0" applyAlignment="1"/>
    <xf numFmtId="0" fontId="29" fillId="0" borderId="1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left"/>
    </xf>
    <xf numFmtId="0" fontId="21" fillId="0" borderId="34" xfId="0" applyFont="1" applyBorder="1" applyAlignment="1">
      <alignment horizontal="left"/>
    </xf>
    <xf numFmtId="0" fontId="0" fillId="0" borderId="34" xfId="0" applyBorder="1" applyAlignment="1"/>
    <xf numFmtId="0" fontId="21" fillId="0" borderId="35" xfId="0" applyFont="1" applyBorder="1" applyAlignment="1">
      <alignment horizontal="center" vertical="justify" wrapText="1"/>
    </xf>
    <xf numFmtId="0" fontId="21" fillId="0" borderId="34" xfId="0" applyFont="1" applyBorder="1" applyAlignment="1">
      <alignment horizontal="center" vertical="justify" wrapText="1"/>
    </xf>
    <xf numFmtId="0" fontId="22" fillId="0" borderId="34" xfId="0" applyFont="1" applyBorder="1" applyAlignment="1">
      <alignment vertical="center" wrapText="1"/>
    </xf>
    <xf numFmtId="0" fontId="20" fillId="0" borderId="6" xfId="0" applyFont="1" applyFill="1" applyBorder="1"/>
    <xf numFmtId="0" fontId="20" fillId="0" borderId="0" xfId="0" applyFont="1" applyFill="1" applyBorder="1"/>
    <xf numFmtId="0" fontId="21" fillId="0" borderId="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3" fillId="0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indexed="50"/>
  </sheetPr>
  <dimension ref="A1:N145"/>
  <sheetViews>
    <sheetView view="pageBreakPreview" topLeftCell="A136" zoomScale="75" zoomScaleNormal="75" workbookViewId="0">
      <selection activeCell="L8" sqref="L8"/>
    </sheetView>
  </sheetViews>
  <sheetFormatPr defaultRowHeight="12.75"/>
  <cols>
    <col min="1" max="1" width="74.7109375" customWidth="1"/>
    <col min="2" max="2" width="11.7109375" customWidth="1"/>
    <col min="3" max="3" width="13.85546875" customWidth="1"/>
    <col min="4" max="4" width="14.140625" customWidth="1"/>
    <col min="5" max="5" width="13" customWidth="1"/>
    <col min="6" max="7" width="13.7109375" bestFit="1" customWidth="1"/>
    <col min="8" max="8" width="12" bestFit="1" customWidth="1"/>
    <col min="9" max="9" width="12" customWidth="1"/>
  </cols>
  <sheetData>
    <row r="1" spans="1:9" ht="37.15" customHeight="1">
      <c r="A1" s="245" t="s">
        <v>174</v>
      </c>
      <c r="B1" s="245"/>
      <c r="C1" s="245"/>
      <c r="D1" s="245"/>
      <c r="E1" s="245"/>
      <c r="F1" s="245"/>
      <c r="H1" s="243" t="s">
        <v>97</v>
      </c>
      <c r="I1" s="243"/>
    </row>
    <row r="2" spans="1:9" ht="39" customHeight="1">
      <c r="A2" s="114"/>
      <c r="B2" s="114"/>
      <c r="C2" s="114"/>
      <c r="D2" s="114"/>
      <c r="E2" s="114"/>
      <c r="F2" s="114"/>
      <c r="H2" s="244" t="s">
        <v>405</v>
      </c>
      <c r="I2" s="244"/>
    </row>
    <row r="3" spans="1:9" ht="14.25" customHeight="1">
      <c r="A3" s="1"/>
      <c r="B3" s="2"/>
      <c r="C3" s="1"/>
      <c r="D3" s="1"/>
      <c r="E3" s="34"/>
      <c r="F3" s="34"/>
      <c r="G3" s="34"/>
    </row>
    <row r="4" spans="1:9" ht="51" customHeight="1">
      <c r="A4" s="249" t="s">
        <v>404</v>
      </c>
      <c r="B4" s="249"/>
      <c r="C4" s="249"/>
      <c r="D4" s="249"/>
      <c r="E4" s="249"/>
      <c r="F4" s="249"/>
      <c r="G4" s="249"/>
      <c r="H4" s="249"/>
      <c r="I4" s="249"/>
    </row>
    <row r="5" spans="1:9" ht="14.25" customHeight="1">
      <c r="A5" s="28"/>
      <c r="B5" s="28"/>
      <c r="C5" s="28"/>
      <c r="D5" s="28"/>
      <c r="E5" s="28"/>
      <c r="F5" s="28"/>
      <c r="G5" s="28"/>
    </row>
    <row r="6" spans="1:9" ht="21" customHeight="1">
      <c r="A6" s="246" t="s">
        <v>16</v>
      </c>
      <c r="B6" s="254" t="s">
        <v>17</v>
      </c>
      <c r="C6" s="246" t="s">
        <v>166</v>
      </c>
      <c r="D6" s="246" t="s">
        <v>171</v>
      </c>
      <c r="E6" s="246" t="s">
        <v>172</v>
      </c>
      <c r="F6" s="250" t="s">
        <v>100</v>
      </c>
      <c r="G6" s="251"/>
      <c r="H6" s="251"/>
      <c r="I6" s="251"/>
    </row>
    <row r="7" spans="1:9" ht="33" customHeight="1">
      <c r="A7" s="247"/>
      <c r="B7" s="255"/>
      <c r="C7" s="247"/>
      <c r="D7" s="247"/>
      <c r="E7" s="247"/>
      <c r="F7" s="250" t="s">
        <v>164</v>
      </c>
      <c r="G7" s="251"/>
      <c r="H7" s="252" t="s">
        <v>167</v>
      </c>
      <c r="I7" s="252" t="s">
        <v>173</v>
      </c>
    </row>
    <row r="8" spans="1:9" ht="22.9" customHeight="1">
      <c r="A8" s="248"/>
      <c r="B8" s="256"/>
      <c r="C8" s="248"/>
      <c r="D8" s="248"/>
      <c r="E8" s="248"/>
      <c r="F8" s="32" t="s">
        <v>89</v>
      </c>
      <c r="G8" s="112" t="s">
        <v>8</v>
      </c>
      <c r="H8" s="253"/>
      <c r="I8" s="253"/>
    </row>
    <row r="9" spans="1:9" ht="18.75">
      <c r="A9" s="233" t="s">
        <v>18</v>
      </c>
      <c r="B9" s="234"/>
      <c r="C9" s="234"/>
      <c r="D9" s="234"/>
      <c r="E9" s="234"/>
      <c r="F9" s="234"/>
      <c r="G9" s="234"/>
      <c r="H9" s="234"/>
      <c r="I9" s="234"/>
    </row>
    <row r="10" spans="1:9" ht="39">
      <c r="A10" s="37" t="s">
        <v>126</v>
      </c>
      <c r="B10" s="59" t="s">
        <v>19</v>
      </c>
      <c r="C10" s="213">
        <v>2648.1</v>
      </c>
      <c r="D10" s="213">
        <v>2672.1</v>
      </c>
      <c r="E10" s="213">
        <v>2780.3</v>
      </c>
      <c r="F10" s="213">
        <v>2914.1</v>
      </c>
      <c r="G10" s="214">
        <v>2907.9</v>
      </c>
      <c r="H10" s="213">
        <v>3048.3</v>
      </c>
      <c r="I10" s="214">
        <v>3156</v>
      </c>
    </row>
    <row r="11" spans="1:9" ht="18.75">
      <c r="A11" s="95" t="s">
        <v>20</v>
      </c>
      <c r="B11" s="66"/>
      <c r="C11" s="215"/>
      <c r="D11" s="215"/>
      <c r="E11" s="215"/>
      <c r="F11" s="215"/>
      <c r="G11" s="215"/>
      <c r="H11" s="215"/>
      <c r="I11" s="215"/>
    </row>
    <row r="12" spans="1:9" ht="18.75">
      <c r="A12" s="68" t="s">
        <v>64</v>
      </c>
      <c r="B12" s="61" t="s">
        <v>19</v>
      </c>
      <c r="C12" s="217"/>
      <c r="D12" s="217"/>
      <c r="E12" s="217"/>
      <c r="F12" s="217"/>
      <c r="G12" s="217"/>
      <c r="H12" s="217"/>
      <c r="I12" s="217"/>
    </row>
    <row r="13" spans="1:9" ht="18.75">
      <c r="A13" s="69" t="s">
        <v>78</v>
      </c>
      <c r="B13" s="61" t="s">
        <v>19</v>
      </c>
      <c r="C13" s="217">
        <v>445.1</v>
      </c>
      <c r="D13" s="217">
        <v>345</v>
      </c>
      <c r="E13" s="217">
        <v>361.5</v>
      </c>
      <c r="F13" s="217">
        <v>380.3</v>
      </c>
      <c r="G13" s="217">
        <v>379.9</v>
      </c>
      <c r="H13" s="217">
        <v>396.3</v>
      </c>
      <c r="I13" s="217">
        <v>412.9</v>
      </c>
    </row>
    <row r="14" spans="1:9" ht="18.75">
      <c r="A14" s="70" t="s">
        <v>66</v>
      </c>
      <c r="B14" s="61" t="s">
        <v>19</v>
      </c>
      <c r="C14" s="217"/>
      <c r="D14" s="217"/>
      <c r="E14" s="217"/>
      <c r="F14" s="217"/>
      <c r="G14" s="217"/>
      <c r="H14" s="217"/>
      <c r="I14" s="217"/>
    </row>
    <row r="15" spans="1:9" ht="18.75">
      <c r="A15" s="70" t="s">
        <v>67</v>
      </c>
      <c r="B15" s="61" t="s">
        <v>19</v>
      </c>
      <c r="C15" s="217">
        <v>762.4</v>
      </c>
      <c r="D15" s="217">
        <v>650.20000000000005</v>
      </c>
      <c r="E15" s="217">
        <v>634.6</v>
      </c>
      <c r="F15" s="217">
        <v>658</v>
      </c>
      <c r="G15" s="217">
        <v>649.79999999999995</v>
      </c>
      <c r="H15" s="217">
        <v>683.9</v>
      </c>
      <c r="I15" s="217">
        <v>695.5</v>
      </c>
    </row>
    <row r="16" spans="1:9" ht="18.75">
      <c r="A16" s="70" t="s">
        <v>79</v>
      </c>
      <c r="B16" s="61" t="s">
        <v>19</v>
      </c>
      <c r="C16" s="217">
        <v>288.7</v>
      </c>
      <c r="D16" s="217">
        <v>277</v>
      </c>
      <c r="E16" s="217">
        <v>283.60000000000002</v>
      </c>
      <c r="F16" s="217">
        <v>295.2</v>
      </c>
      <c r="G16" s="217">
        <v>300.89999999999998</v>
      </c>
      <c r="H16" s="217">
        <v>312.7</v>
      </c>
      <c r="I16" s="217">
        <v>324.5</v>
      </c>
    </row>
    <row r="17" spans="1:9" ht="18.75">
      <c r="A17" s="70" t="s">
        <v>29</v>
      </c>
      <c r="B17" s="61" t="s">
        <v>19</v>
      </c>
      <c r="C17" s="217">
        <v>23.6</v>
      </c>
      <c r="D17" s="217">
        <v>35.700000000000003</v>
      </c>
      <c r="E17" s="217">
        <v>37.1</v>
      </c>
      <c r="F17" s="217">
        <v>38.6</v>
      </c>
      <c r="G17" s="217">
        <v>38.6</v>
      </c>
      <c r="H17" s="217">
        <v>40.799999999999997</v>
      </c>
      <c r="I17" s="217">
        <v>42.4</v>
      </c>
    </row>
    <row r="18" spans="1:9" ht="56.25" customHeight="1">
      <c r="A18" s="69" t="s">
        <v>2</v>
      </c>
      <c r="B18" s="61" t="s">
        <v>19</v>
      </c>
      <c r="C18" s="217">
        <v>827.1</v>
      </c>
      <c r="D18" s="217">
        <v>1009.9</v>
      </c>
      <c r="E18" s="217">
        <v>1087.7</v>
      </c>
      <c r="F18" s="217">
        <v>1146.4000000000001</v>
      </c>
      <c r="G18" s="217">
        <v>1143.2</v>
      </c>
      <c r="H18" s="217">
        <v>1201.4000000000001</v>
      </c>
      <c r="I18" s="217">
        <v>1249.5</v>
      </c>
    </row>
    <row r="19" spans="1:9" ht="18.75">
      <c r="A19" s="70" t="s">
        <v>69</v>
      </c>
      <c r="B19" s="61" t="s">
        <v>19</v>
      </c>
      <c r="C19" s="217">
        <v>23.8</v>
      </c>
      <c r="D19" s="217">
        <v>109.5</v>
      </c>
      <c r="E19" s="217">
        <v>119.3</v>
      </c>
      <c r="F19" s="217">
        <v>125.6</v>
      </c>
      <c r="G19" s="217">
        <v>125.6</v>
      </c>
      <c r="H19" s="217">
        <v>132</v>
      </c>
      <c r="I19" s="217">
        <v>138.19999999999999</v>
      </c>
    </row>
    <row r="20" spans="1:9" ht="18.75">
      <c r="A20" s="70" t="s">
        <v>74</v>
      </c>
      <c r="B20" s="61" t="s">
        <v>19</v>
      </c>
      <c r="C20" s="217">
        <v>277.39999999999998</v>
      </c>
      <c r="D20" s="217">
        <v>244.8</v>
      </c>
      <c r="E20" s="217">
        <v>256.5</v>
      </c>
      <c r="F20" s="217">
        <v>270</v>
      </c>
      <c r="G20" s="217">
        <v>269.8</v>
      </c>
      <c r="H20" s="217">
        <v>281.2</v>
      </c>
      <c r="I20" s="217">
        <v>293</v>
      </c>
    </row>
    <row r="21" spans="1:9" ht="58.5">
      <c r="A21" s="37" t="s">
        <v>127</v>
      </c>
      <c r="B21" s="61" t="s">
        <v>19</v>
      </c>
      <c r="C21" s="217">
        <v>2469.3000000000002</v>
      </c>
      <c r="D21" s="217">
        <v>2373.6</v>
      </c>
      <c r="E21" s="217">
        <v>2512.9</v>
      </c>
      <c r="F21" s="217">
        <v>2637.8</v>
      </c>
      <c r="G21" s="217">
        <v>2632.5</v>
      </c>
      <c r="H21" s="217">
        <v>2756.4</v>
      </c>
      <c r="I21" s="217">
        <v>2854.7</v>
      </c>
    </row>
    <row r="22" spans="1:9" ht="44.25" customHeight="1">
      <c r="A22" s="92" t="s">
        <v>140</v>
      </c>
      <c r="B22" s="64" t="s">
        <v>19</v>
      </c>
      <c r="C22" s="218">
        <v>132.80000000000001</v>
      </c>
      <c r="D22" s="218">
        <v>163.6</v>
      </c>
      <c r="E22" s="218">
        <v>170.3</v>
      </c>
      <c r="F22" s="218">
        <v>178</v>
      </c>
      <c r="G22" s="218">
        <v>177.1</v>
      </c>
      <c r="H22" s="218">
        <v>185.9</v>
      </c>
      <c r="I22" s="218">
        <v>192.6</v>
      </c>
    </row>
    <row r="23" spans="1:9" ht="18.75">
      <c r="A23" s="237" t="s">
        <v>23</v>
      </c>
      <c r="B23" s="238"/>
      <c r="C23" s="238"/>
      <c r="D23" s="238"/>
      <c r="E23" s="238"/>
      <c r="F23" s="238"/>
      <c r="G23" s="238"/>
      <c r="H23" s="238"/>
      <c r="I23" s="238"/>
    </row>
    <row r="24" spans="1:9" ht="18.75">
      <c r="A24" s="93" t="s">
        <v>106</v>
      </c>
      <c r="B24" s="65"/>
      <c r="C24" s="219"/>
      <c r="D24" s="219"/>
      <c r="E24" s="219"/>
      <c r="F24" s="219"/>
      <c r="G24" s="219"/>
      <c r="H24" s="219"/>
      <c r="I24" s="219"/>
    </row>
    <row r="25" spans="1:9" ht="44.25" customHeight="1">
      <c r="A25" s="73" t="s">
        <v>115</v>
      </c>
      <c r="B25" s="61" t="s">
        <v>19</v>
      </c>
      <c r="C25" s="223">
        <v>1051.0999999999999</v>
      </c>
      <c r="D25" s="223">
        <v>927.2</v>
      </c>
      <c r="E25" s="223">
        <v>918.2</v>
      </c>
      <c r="F25" s="223">
        <v>953.2</v>
      </c>
      <c r="G25" s="223">
        <v>950.7</v>
      </c>
      <c r="H25" s="223">
        <v>996.6</v>
      </c>
      <c r="I25" s="223">
        <v>1020</v>
      </c>
    </row>
    <row r="26" spans="1:9" ht="18.75">
      <c r="A26" s="73" t="s">
        <v>108</v>
      </c>
      <c r="B26" s="62" t="s">
        <v>21</v>
      </c>
      <c r="C26" s="223">
        <v>134.13999999999999</v>
      </c>
      <c r="D26" s="223">
        <v>174.91</v>
      </c>
      <c r="E26" s="223">
        <v>102.46</v>
      </c>
      <c r="F26" s="223">
        <v>99.95</v>
      </c>
      <c r="G26" s="223">
        <v>100</v>
      </c>
      <c r="H26" s="223">
        <v>100.01</v>
      </c>
      <c r="I26" s="223">
        <v>100</v>
      </c>
    </row>
    <row r="27" spans="1:9" ht="18.75">
      <c r="A27" s="74" t="s">
        <v>40</v>
      </c>
      <c r="B27" s="61"/>
      <c r="C27" s="223"/>
      <c r="D27" s="223"/>
      <c r="E27" s="223"/>
      <c r="F27" s="223"/>
      <c r="G27" s="223"/>
      <c r="H27" s="223"/>
      <c r="I27" s="223"/>
    </row>
    <row r="28" spans="1:9" ht="18.75">
      <c r="A28" s="72" t="s">
        <v>24</v>
      </c>
      <c r="B28" s="61"/>
      <c r="C28" s="217"/>
      <c r="D28" s="217"/>
      <c r="E28" s="217"/>
      <c r="F28" s="217"/>
      <c r="G28" s="220"/>
      <c r="H28" s="217"/>
      <c r="I28" s="217"/>
    </row>
    <row r="29" spans="1:9" ht="37.5">
      <c r="A29" s="75" t="s">
        <v>114</v>
      </c>
      <c r="B29" s="61" t="s">
        <v>19</v>
      </c>
      <c r="C29" s="217"/>
      <c r="D29" s="217"/>
      <c r="E29" s="217"/>
      <c r="F29" s="217"/>
      <c r="G29" s="220"/>
      <c r="H29" s="217"/>
      <c r="I29" s="217"/>
    </row>
    <row r="30" spans="1:9" ht="18.75">
      <c r="A30" s="75" t="s">
        <v>3</v>
      </c>
      <c r="B30" s="61" t="s">
        <v>21</v>
      </c>
      <c r="C30" s="217"/>
      <c r="D30" s="217"/>
      <c r="E30" s="217"/>
      <c r="F30" s="217"/>
      <c r="G30" s="220"/>
      <c r="H30" s="217"/>
      <c r="I30" s="217"/>
    </row>
    <row r="31" spans="1:9" ht="18.75">
      <c r="A31" s="72" t="s">
        <v>25</v>
      </c>
      <c r="B31" s="61"/>
      <c r="C31" s="217"/>
      <c r="D31" s="217"/>
      <c r="E31" s="217"/>
      <c r="F31" s="217"/>
      <c r="G31" s="220"/>
      <c r="H31" s="217"/>
      <c r="I31" s="217"/>
    </row>
    <row r="32" spans="1:9" ht="37.5">
      <c r="A32" s="75" t="s">
        <v>114</v>
      </c>
      <c r="B32" s="61" t="s">
        <v>19</v>
      </c>
      <c r="C32" s="217">
        <v>762.4</v>
      </c>
      <c r="D32" s="217">
        <v>650.20000000000005</v>
      </c>
      <c r="E32" s="217">
        <v>634.6</v>
      </c>
      <c r="F32" s="217">
        <v>658</v>
      </c>
      <c r="G32" s="220">
        <v>649.79999999999995</v>
      </c>
      <c r="H32" s="217">
        <v>683.9</v>
      </c>
      <c r="I32" s="220">
        <v>695.5</v>
      </c>
    </row>
    <row r="33" spans="1:9" ht="18.75">
      <c r="A33" s="75" t="s">
        <v>3</v>
      </c>
      <c r="B33" s="61" t="s">
        <v>21</v>
      </c>
      <c r="C33" s="217">
        <v>144.87</v>
      </c>
      <c r="D33" s="217">
        <v>189.73</v>
      </c>
      <c r="E33" s="217">
        <v>102.48</v>
      </c>
      <c r="F33" s="217">
        <v>100</v>
      </c>
      <c r="G33" s="220">
        <v>100</v>
      </c>
      <c r="H33" s="217">
        <v>100</v>
      </c>
      <c r="I33" s="220">
        <v>100</v>
      </c>
    </row>
    <row r="34" spans="1:9" ht="37.5" customHeight="1">
      <c r="A34" s="72" t="s">
        <v>26</v>
      </c>
      <c r="B34" s="61"/>
      <c r="C34" s="217"/>
      <c r="D34" s="217"/>
      <c r="E34" s="217"/>
      <c r="F34" s="217"/>
      <c r="G34" s="220"/>
      <c r="H34" s="217"/>
      <c r="I34" s="220"/>
    </row>
    <row r="35" spans="1:9" ht="37.5">
      <c r="A35" s="75" t="s">
        <v>114</v>
      </c>
      <c r="B35" s="61" t="s">
        <v>19</v>
      </c>
      <c r="C35" s="217">
        <v>288.7</v>
      </c>
      <c r="D35" s="217">
        <v>277</v>
      </c>
      <c r="E35" s="217">
        <v>283.60000000000002</v>
      </c>
      <c r="F35" s="217">
        <v>295.2</v>
      </c>
      <c r="G35" s="220">
        <v>300.89999999999998</v>
      </c>
      <c r="H35" s="217">
        <v>312.7</v>
      </c>
      <c r="I35" s="220">
        <v>324.5</v>
      </c>
    </row>
    <row r="36" spans="1:9" ht="18.75">
      <c r="A36" s="75" t="s">
        <v>3</v>
      </c>
      <c r="B36" s="61" t="s">
        <v>21</v>
      </c>
      <c r="C36" s="217">
        <v>97.69</v>
      </c>
      <c r="D36" s="217">
        <v>100.31</v>
      </c>
      <c r="E36" s="217">
        <v>102.27</v>
      </c>
      <c r="F36" s="217">
        <v>99.51</v>
      </c>
      <c r="G36" s="220">
        <v>100</v>
      </c>
      <c r="H36" s="217">
        <v>100</v>
      </c>
      <c r="I36" s="220">
        <v>100</v>
      </c>
    </row>
    <row r="37" spans="1:9" ht="18.75">
      <c r="A37" s="76" t="s">
        <v>27</v>
      </c>
      <c r="B37" s="63"/>
      <c r="C37" s="217"/>
      <c r="D37" s="217"/>
      <c r="E37" s="217"/>
      <c r="F37" s="224"/>
      <c r="G37" s="217"/>
      <c r="H37" s="224"/>
      <c r="I37" s="217"/>
    </row>
    <row r="38" spans="1:9" ht="18.75">
      <c r="A38" s="77" t="s">
        <v>28</v>
      </c>
      <c r="B38" s="61" t="s">
        <v>19</v>
      </c>
      <c r="C38" s="217"/>
      <c r="D38" s="217"/>
      <c r="E38" s="217"/>
      <c r="F38" s="217"/>
      <c r="G38" s="217"/>
      <c r="H38" s="217"/>
      <c r="I38" s="217"/>
    </row>
    <row r="39" spans="1:9" ht="37.5">
      <c r="A39" s="77" t="s">
        <v>4</v>
      </c>
      <c r="B39" s="61" t="s">
        <v>21</v>
      </c>
      <c r="C39" s="217"/>
      <c r="D39" s="217"/>
      <c r="E39" s="217"/>
      <c r="F39" s="217"/>
      <c r="G39" s="220"/>
      <c r="H39" s="217"/>
      <c r="I39" s="220"/>
    </row>
    <row r="40" spans="1:9" ht="18.75">
      <c r="A40" s="78" t="s">
        <v>29</v>
      </c>
      <c r="B40" s="63"/>
      <c r="C40" s="217"/>
      <c r="D40" s="217"/>
      <c r="E40" s="217"/>
      <c r="F40" s="224"/>
      <c r="G40" s="217"/>
      <c r="H40" s="224"/>
      <c r="I40" s="217"/>
    </row>
    <row r="41" spans="1:9" ht="37.5">
      <c r="A41" s="79" t="s">
        <v>5</v>
      </c>
      <c r="B41" s="61" t="s">
        <v>19</v>
      </c>
      <c r="C41" s="217">
        <v>23.6</v>
      </c>
      <c r="D41" s="217">
        <v>35.700000000000003</v>
      </c>
      <c r="E41" s="217">
        <v>37.799999999999997</v>
      </c>
      <c r="F41" s="224">
        <v>38.6</v>
      </c>
      <c r="G41" s="217">
        <v>38.6</v>
      </c>
      <c r="H41" s="224">
        <v>40.799999999999997</v>
      </c>
      <c r="I41" s="217">
        <v>42.4</v>
      </c>
    </row>
    <row r="42" spans="1:9" ht="18.75">
      <c r="A42" s="79" t="s">
        <v>30</v>
      </c>
      <c r="B42" s="61" t="s">
        <v>31</v>
      </c>
      <c r="C42" s="217">
        <v>8067</v>
      </c>
      <c r="D42" s="217">
        <v>14459</v>
      </c>
      <c r="E42" s="217">
        <v>7327.8</v>
      </c>
      <c r="F42" s="217">
        <v>7069</v>
      </c>
      <c r="G42" s="220">
        <v>7069</v>
      </c>
      <c r="H42" s="217">
        <v>7069</v>
      </c>
      <c r="I42" s="220">
        <v>7069</v>
      </c>
    </row>
    <row r="43" spans="1:9" ht="18.75">
      <c r="A43" s="79" t="s">
        <v>32</v>
      </c>
      <c r="B43" s="61" t="s">
        <v>31</v>
      </c>
      <c r="C43" s="225">
        <v>0.25</v>
      </c>
      <c r="D43" s="225">
        <v>0.45</v>
      </c>
      <c r="E43" s="225">
        <v>0.23</v>
      </c>
      <c r="F43" s="225">
        <v>0.23</v>
      </c>
      <c r="G43" s="226">
        <v>0.23</v>
      </c>
      <c r="H43" s="225">
        <v>0.23</v>
      </c>
      <c r="I43" s="226">
        <v>0.23</v>
      </c>
    </row>
    <row r="44" spans="1:9" ht="18.75">
      <c r="A44" s="78" t="s">
        <v>33</v>
      </c>
      <c r="B44" s="63"/>
      <c r="C44" s="217"/>
      <c r="D44" s="217"/>
      <c r="E44" s="217"/>
      <c r="F44" s="224"/>
      <c r="G44" s="220"/>
      <c r="H44" s="224"/>
      <c r="I44" s="220"/>
    </row>
    <row r="45" spans="1:9" ht="18.75">
      <c r="A45" s="79" t="s">
        <v>34</v>
      </c>
      <c r="B45" s="61" t="s">
        <v>19</v>
      </c>
      <c r="C45" s="217">
        <v>3124.5</v>
      </c>
      <c r="D45" s="217">
        <v>3219.9</v>
      </c>
      <c r="E45" s="217">
        <v>3429.2</v>
      </c>
      <c r="F45" s="217">
        <v>3597.2</v>
      </c>
      <c r="G45" s="220">
        <v>3566.4</v>
      </c>
      <c r="H45" s="217">
        <v>3759.1</v>
      </c>
      <c r="I45" s="220">
        <v>3909.5</v>
      </c>
    </row>
    <row r="46" spans="1:9" ht="18.75">
      <c r="A46" s="79" t="s">
        <v>35</v>
      </c>
      <c r="B46" s="61" t="s">
        <v>21</v>
      </c>
      <c r="C46" s="217">
        <v>100</v>
      </c>
      <c r="D46" s="217">
        <v>100</v>
      </c>
      <c r="E46" s="217">
        <v>100</v>
      </c>
      <c r="F46" s="217">
        <v>100</v>
      </c>
      <c r="G46" s="220">
        <v>100</v>
      </c>
      <c r="H46" s="217">
        <v>100</v>
      </c>
      <c r="I46" s="220">
        <v>100</v>
      </c>
    </row>
    <row r="47" spans="1:9" ht="18.75">
      <c r="A47" s="76" t="s">
        <v>36</v>
      </c>
      <c r="B47" s="63"/>
      <c r="C47" s="217"/>
      <c r="D47" s="217"/>
      <c r="E47" s="217"/>
      <c r="F47" s="217"/>
      <c r="G47" s="220"/>
      <c r="H47" s="217"/>
      <c r="I47" s="220"/>
    </row>
    <row r="48" spans="1:9" ht="37.5">
      <c r="A48" s="77" t="s">
        <v>119</v>
      </c>
      <c r="B48" s="61" t="s">
        <v>37</v>
      </c>
      <c r="C48" s="216">
        <v>111</v>
      </c>
      <c r="D48" s="216">
        <v>131</v>
      </c>
      <c r="E48" s="216">
        <v>126</v>
      </c>
      <c r="F48" s="216">
        <v>126</v>
      </c>
      <c r="G48" s="220">
        <v>126</v>
      </c>
      <c r="H48" s="216">
        <v>132</v>
      </c>
      <c r="I48" s="220">
        <v>132</v>
      </c>
    </row>
    <row r="49" spans="1:9" ht="18.75">
      <c r="A49" s="77" t="s">
        <v>107</v>
      </c>
      <c r="B49" s="61"/>
      <c r="C49" s="227"/>
      <c r="D49" s="227"/>
      <c r="E49" s="227"/>
      <c r="F49" s="227"/>
      <c r="G49" s="228"/>
      <c r="H49" s="227"/>
      <c r="I49" s="228"/>
    </row>
    <row r="50" spans="1:9" ht="18.75">
      <c r="A50" s="77" t="s">
        <v>64</v>
      </c>
      <c r="B50" s="61" t="s">
        <v>37</v>
      </c>
      <c r="C50" s="227"/>
      <c r="D50" s="227"/>
      <c r="E50" s="227"/>
      <c r="F50" s="227"/>
      <c r="G50" s="228"/>
      <c r="H50" s="227"/>
      <c r="I50" s="228"/>
    </row>
    <row r="51" spans="1:9" ht="18.75">
      <c r="A51" s="77" t="s">
        <v>103</v>
      </c>
      <c r="B51" s="61" t="s">
        <v>37</v>
      </c>
      <c r="C51" s="227">
        <v>10</v>
      </c>
      <c r="D51" s="227">
        <v>12</v>
      </c>
      <c r="E51" s="227">
        <v>12</v>
      </c>
      <c r="F51" s="227">
        <v>12</v>
      </c>
      <c r="G51" s="228">
        <v>12</v>
      </c>
      <c r="H51" s="227">
        <v>13</v>
      </c>
      <c r="I51" s="228">
        <v>13</v>
      </c>
    </row>
    <row r="52" spans="1:9" ht="18.75">
      <c r="A52" s="77" t="s">
        <v>66</v>
      </c>
      <c r="B52" s="61" t="s">
        <v>37</v>
      </c>
      <c r="C52" s="227">
        <v>1</v>
      </c>
      <c r="D52" s="227">
        <v>1</v>
      </c>
      <c r="E52" s="227">
        <v>1</v>
      </c>
      <c r="F52" s="227">
        <v>1</v>
      </c>
      <c r="G52" s="228">
        <v>1</v>
      </c>
      <c r="H52" s="227">
        <v>1</v>
      </c>
      <c r="I52" s="228">
        <v>1</v>
      </c>
    </row>
    <row r="53" spans="1:9" ht="18.75">
      <c r="A53" s="77" t="s">
        <v>67</v>
      </c>
      <c r="B53" s="61" t="s">
        <v>37</v>
      </c>
      <c r="C53" s="227">
        <v>11</v>
      </c>
      <c r="D53" s="227">
        <v>15</v>
      </c>
      <c r="E53" s="227">
        <v>15</v>
      </c>
      <c r="F53" s="227">
        <v>15</v>
      </c>
      <c r="G53" s="228">
        <v>15</v>
      </c>
      <c r="H53" s="227">
        <v>15</v>
      </c>
      <c r="I53" s="228">
        <v>15</v>
      </c>
    </row>
    <row r="54" spans="1:9" ht="20.25" customHeight="1">
      <c r="A54" s="77" t="s">
        <v>68</v>
      </c>
      <c r="B54" s="61" t="s">
        <v>37</v>
      </c>
      <c r="C54" s="227">
        <v>5</v>
      </c>
      <c r="D54" s="227">
        <v>5</v>
      </c>
      <c r="E54" s="227">
        <v>5</v>
      </c>
      <c r="F54" s="227">
        <v>5</v>
      </c>
      <c r="G54" s="228">
        <v>5</v>
      </c>
      <c r="H54" s="227">
        <v>5</v>
      </c>
      <c r="I54" s="228">
        <v>5</v>
      </c>
    </row>
    <row r="55" spans="1:9" ht="18.75">
      <c r="A55" s="77" t="s">
        <v>29</v>
      </c>
      <c r="B55" s="61" t="s">
        <v>37</v>
      </c>
      <c r="C55" s="227">
        <v>3</v>
      </c>
      <c r="D55" s="227">
        <v>7</v>
      </c>
      <c r="E55" s="227">
        <v>6</v>
      </c>
      <c r="F55" s="227">
        <v>6</v>
      </c>
      <c r="G55" s="228">
        <v>6</v>
      </c>
      <c r="H55" s="227">
        <v>7</v>
      </c>
      <c r="I55" s="228">
        <v>7</v>
      </c>
    </row>
    <row r="56" spans="1:9" ht="18.75">
      <c r="A56" s="77" t="s">
        <v>33</v>
      </c>
      <c r="B56" s="61" t="s">
        <v>37</v>
      </c>
      <c r="C56" s="227">
        <v>55</v>
      </c>
      <c r="D56" s="227">
        <v>54</v>
      </c>
      <c r="E56" s="227">
        <v>52</v>
      </c>
      <c r="F56" s="227">
        <v>52</v>
      </c>
      <c r="G56" s="228">
        <v>52</v>
      </c>
      <c r="H56" s="227">
        <v>54</v>
      </c>
      <c r="I56" s="228">
        <v>54</v>
      </c>
    </row>
    <row r="57" spans="1:9" ht="18.75">
      <c r="A57" s="77" t="s">
        <v>69</v>
      </c>
      <c r="B57" s="61" t="s">
        <v>37</v>
      </c>
      <c r="C57" s="227">
        <v>3</v>
      </c>
      <c r="D57" s="227">
        <v>8</v>
      </c>
      <c r="E57" s="227">
        <v>6</v>
      </c>
      <c r="F57" s="227">
        <v>6</v>
      </c>
      <c r="G57" s="228">
        <v>6</v>
      </c>
      <c r="H57" s="227">
        <v>7</v>
      </c>
      <c r="I57" s="228">
        <v>7</v>
      </c>
    </row>
    <row r="58" spans="1:9" ht="18.75">
      <c r="A58" s="77" t="s">
        <v>74</v>
      </c>
      <c r="B58" s="61" t="s">
        <v>37</v>
      </c>
      <c r="C58" s="227">
        <v>23</v>
      </c>
      <c r="D58" s="227">
        <v>29</v>
      </c>
      <c r="E58" s="227">
        <v>29</v>
      </c>
      <c r="F58" s="227">
        <v>29</v>
      </c>
      <c r="G58" s="228">
        <v>29</v>
      </c>
      <c r="H58" s="227">
        <v>30</v>
      </c>
      <c r="I58" s="228">
        <v>30</v>
      </c>
    </row>
    <row r="59" spans="1:9" ht="37.5">
      <c r="A59" s="77" t="s">
        <v>120</v>
      </c>
      <c r="B59" s="61" t="s">
        <v>21</v>
      </c>
      <c r="C59" s="217">
        <v>93.3</v>
      </c>
      <c r="D59" s="217">
        <v>89</v>
      </c>
      <c r="E59" s="217">
        <v>90</v>
      </c>
      <c r="F59" s="217">
        <v>90</v>
      </c>
      <c r="G59" s="220">
        <v>90</v>
      </c>
      <c r="H59" s="217">
        <v>90</v>
      </c>
      <c r="I59" s="220">
        <v>90</v>
      </c>
    </row>
    <row r="60" spans="1:9" ht="19.5">
      <c r="A60" s="100" t="s">
        <v>117</v>
      </c>
      <c r="B60" s="61" t="s">
        <v>37</v>
      </c>
      <c r="C60" s="216">
        <v>87</v>
      </c>
      <c r="D60" s="216">
        <v>109</v>
      </c>
      <c r="E60" s="216">
        <v>106</v>
      </c>
      <c r="F60" s="216">
        <v>106</v>
      </c>
      <c r="G60" s="220">
        <v>106</v>
      </c>
      <c r="H60" s="216">
        <v>112</v>
      </c>
      <c r="I60" s="220">
        <v>112</v>
      </c>
    </row>
    <row r="61" spans="1:9" ht="37.5">
      <c r="A61" s="77" t="s">
        <v>128</v>
      </c>
      <c r="B61" s="61"/>
      <c r="C61" s="217">
        <v>40.5</v>
      </c>
      <c r="D61" s="217">
        <v>45</v>
      </c>
      <c r="E61" s="217">
        <v>46</v>
      </c>
      <c r="F61" s="217">
        <v>46</v>
      </c>
      <c r="G61" s="220">
        <v>46</v>
      </c>
      <c r="H61" s="217">
        <v>46</v>
      </c>
      <c r="I61" s="220">
        <v>45</v>
      </c>
    </row>
    <row r="62" spans="1:9" ht="18.75">
      <c r="A62" s="77" t="s">
        <v>104</v>
      </c>
      <c r="B62" s="61" t="s">
        <v>37</v>
      </c>
      <c r="C62" s="216">
        <v>681</v>
      </c>
      <c r="D62" s="216">
        <v>646</v>
      </c>
      <c r="E62" s="216">
        <v>660</v>
      </c>
      <c r="F62" s="216">
        <v>660</v>
      </c>
      <c r="G62" s="220">
        <v>660</v>
      </c>
      <c r="H62" s="216">
        <v>670</v>
      </c>
      <c r="I62" s="220">
        <v>675</v>
      </c>
    </row>
    <row r="63" spans="1:9" ht="39">
      <c r="A63" s="94" t="s">
        <v>6</v>
      </c>
      <c r="B63" s="64" t="s">
        <v>19</v>
      </c>
      <c r="C63" s="218">
        <v>19</v>
      </c>
      <c r="D63" s="218">
        <v>234.8</v>
      </c>
      <c r="E63" s="218">
        <v>173.1</v>
      </c>
      <c r="F63" s="218">
        <v>181.8</v>
      </c>
      <c r="G63" s="218">
        <v>182.1</v>
      </c>
      <c r="H63" s="218">
        <v>190</v>
      </c>
      <c r="I63" s="218">
        <v>197.9</v>
      </c>
    </row>
    <row r="64" spans="1:9" ht="18.75">
      <c r="A64" s="237" t="s">
        <v>133</v>
      </c>
      <c r="B64" s="238"/>
      <c r="C64" s="238"/>
      <c r="D64" s="238"/>
      <c r="E64" s="238"/>
      <c r="F64" s="238"/>
      <c r="G64" s="238"/>
      <c r="H64" s="238"/>
      <c r="I64" s="238"/>
    </row>
    <row r="65" spans="1:9" ht="19.5">
      <c r="A65" s="91" t="s">
        <v>134</v>
      </c>
      <c r="B65" s="66" t="s">
        <v>39</v>
      </c>
      <c r="C65" s="229">
        <v>31.4</v>
      </c>
      <c r="D65" s="229">
        <v>31.28</v>
      </c>
      <c r="E65" s="229">
        <v>31.28</v>
      </c>
      <c r="F65" s="230">
        <v>31.28</v>
      </c>
      <c r="G65" s="229">
        <v>31.28</v>
      </c>
      <c r="H65" s="230">
        <v>31.28</v>
      </c>
      <c r="I65" s="229">
        <v>31.28</v>
      </c>
    </row>
    <row r="66" spans="1:9" ht="39">
      <c r="A66" s="91" t="s">
        <v>122</v>
      </c>
      <c r="B66" s="66" t="s">
        <v>39</v>
      </c>
      <c r="C66" s="229">
        <v>8.1999999999999993</v>
      </c>
      <c r="D66" s="229">
        <v>7.99</v>
      </c>
      <c r="E66" s="229">
        <v>7.67</v>
      </c>
      <c r="F66" s="229">
        <v>7.7</v>
      </c>
      <c r="G66" s="229">
        <v>8</v>
      </c>
      <c r="H66" s="229">
        <v>8</v>
      </c>
      <c r="I66" s="229">
        <v>8</v>
      </c>
    </row>
    <row r="67" spans="1:9" ht="19.5">
      <c r="A67" s="67" t="s">
        <v>40</v>
      </c>
      <c r="B67" s="61"/>
      <c r="C67" s="225"/>
      <c r="D67" s="225"/>
      <c r="E67" s="225"/>
      <c r="F67" s="231"/>
      <c r="G67" s="225"/>
      <c r="H67" s="231"/>
      <c r="I67" s="225"/>
    </row>
    <row r="68" spans="1:9" ht="18.75">
      <c r="A68" s="80" t="s">
        <v>64</v>
      </c>
      <c r="B68" s="61" t="s">
        <v>39</v>
      </c>
      <c r="C68" s="225"/>
      <c r="D68" s="225"/>
      <c r="E68" s="225"/>
      <c r="F68" s="225"/>
      <c r="G68" s="225"/>
      <c r="H68" s="225"/>
      <c r="I68" s="225"/>
    </row>
    <row r="69" spans="1:9" ht="18.75">
      <c r="A69" s="68" t="s">
        <v>78</v>
      </c>
      <c r="B69" s="61" t="s">
        <v>39</v>
      </c>
      <c r="C69" s="225">
        <v>0.11</v>
      </c>
      <c r="D69" s="225">
        <v>0.16</v>
      </c>
      <c r="E69" s="225">
        <v>0.13</v>
      </c>
      <c r="F69" s="225">
        <v>0.13</v>
      </c>
      <c r="G69" s="225">
        <v>0.13</v>
      </c>
      <c r="H69" s="225">
        <v>0.13</v>
      </c>
      <c r="I69" s="225">
        <v>0.13</v>
      </c>
    </row>
    <row r="70" spans="1:9" ht="18.75">
      <c r="A70" s="81" t="s">
        <v>66</v>
      </c>
      <c r="B70" s="61" t="s">
        <v>39</v>
      </c>
      <c r="C70" s="225">
        <v>0.01</v>
      </c>
      <c r="D70" s="225">
        <v>0.01</v>
      </c>
      <c r="E70" s="225">
        <v>0.01</v>
      </c>
      <c r="F70" s="225">
        <v>0.01</v>
      </c>
      <c r="G70" s="225">
        <v>0.01</v>
      </c>
      <c r="H70" s="225">
        <v>0.01</v>
      </c>
      <c r="I70" s="225">
        <v>0.01</v>
      </c>
    </row>
    <row r="71" spans="1:9" ht="18.75">
      <c r="A71" s="81" t="s">
        <v>67</v>
      </c>
      <c r="B71" s="61" t="s">
        <v>39</v>
      </c>
      <c r="C71" s="225">
        <v>1.2</v>
      </c>
      <c r="D71" s="225">
        <v>1.1399999999999999</v>
      </c>
      <c r="E71" s="225">
        <v>0.96</v>
      </c>
      <c r="F71" s="225">
        <v>0.97</v>
      </c>
      <c r="G71" s="225">
        <v>1</v>
      </c>
      <c r="H71" s="225">
        <v>1</v>
      </c>
      <c r="I71" s="225">
        <v>1</v>
      </c>
    </row>
    <row r="72" spans="1:9" ht="18.75">
      <c r="A72" s="81" t="s">
        <v>68</v>
      </c>
      <c r="B72" s="61" t="s">
        <v>39</v>
      </c>
      <c r="C72" s="225">
        <v>0.47</v>
      </c>
      <c r="D72" s="225">
        <v>0.4</v>
      </c>
      <c r="E72" s="225">
        <v>0.37</v>
      </c>
      <c r="F72" s="225">
        <v>0.37</v>
      </c>
      <c r="G72" s="225">
        <v>0.37</v>
      </c>
      <c r="H72" s="225">
        <v>0.37</v>
      </c>
      <c r="I72" s="225">
        <v>0.37</v>
      </c>
    </row>
    <row r="73" spans="1:9" ht="18.75">
      <c r="A73" s="81" t="s">
        <v>29</v>
      </c>
      <c r="B73" s="61" t="s">
        <v>39</v>
      </c>
      <c r="C73" s="225">
        <v>0.3</v>
      </c>
      <c r="D73" s="225">
        <v>0.12</v>
      </c>
      <c r="E73" s="225">
        <v>0.1</v>
      </c>
      <c r="F73" s="225">
        <v>0.1</v>
      </c>
      <c r="G73" s="225">
        <v>0.1</v>
      </c>
      <c r="H73" s="225">
        <v>0.1</v>
      </c>
      <c r="I73" s="225">
        <v>0.1</v>
      </c>
    </row>
    <row r="74" spans="1:9" ht="56.25">
      <c r="A74" s="69" t="s">
        <v>2</v>
      </c>
      <c r="B74" s="61" t="s">
        <v>39</v>
      </c>
      <c r="C74" s="225">
        <v>0.56000000000000005</v>
      </c>
      <c r="D74" s="225">
        <v>0.56999999999999995</v>
      </c>
      <c r="E74" s="225">
        <v>0.49</v>
      </c>
      <c r="F74" s="225">
        <v>0.5</v>
      </c>
      <c r="G74" s="225">
        <v>0.5</v>
      </c>
      <c r="H74" s="225">
        <v>0.5</v>
      </c>
      <c r="I74" s="225">
        <v>0.5</v>
      </c>
    </row>
    <row r="75" spans="1:9" ht="18.75">
      <c r="A75" s="81" t="s">
        <v>69</v>
      </c>
      <c r="B75" s="61" t="s">
        <v>39</v>
      </c>
      <c r="C75" s="225">
        <v>1.4</v>
      </c>
      <c r="D75" s="225">
        <v>1.5</v>
      </c>
      <c r="E75" s="225">
        <v>1.6</v>
      </c>
      <c r="F75" s="225">
        <v>1.6</v>
      </c>
      <c r="G75" s="225">
        <v>1.6</v>
      </c>
      <c r="H75" s="225">
        <v>1.6</v>
      </c>
      <c r="I75" s="225">
        <v>1.6</v>
      </c>
    </row>
    <row r="76" spans="1:9" ht="37.5">
      <c r="A76" s="69" t="s">
        <v>65</v>
      </c>
      <c r="B76" s="61" t="s">
        <v>39</v>
      </c>
      <c r="C76" s="225">
        <v>0.8</v>
      </c>
      <c r="D76" s="225">
        <v>0.74</v>
      </c>
      <c r="E76" s="225">
        <v>0.8</v>
      </c>
      <c r="F76" s="225">
        <v>0.8</v>
      </c>
      <c r="G76" s="225">
        <v>0.8</v>
      </c>
      <c r="H76" s="225">
        <v>0.8</v>
      </c>
      <c r="I76" s="225">
        <v>0.8</v>
      </c>
    </row>
    <row r="77" spans="1:9" ht="18.75">
      <c r="A77" s="81" t="s">
        <v>70</v>
      </c>
      <c r="B77" s="61" t="s">
        <v>39</v>
      </c>
      <c r="C77" s="225">
        <v>1.3</v>
      </c>
      <c r="D77" s="225">
        <v>1.21</v>
      </c>
      <c r="E77" s="225">
        <v>1.1499999999999999</v>
      </c>
      <c r="F77" s="225">
        <v>1.1499999999999999</v>
      </c>
      <c r="G77" s="225">
        <v>1.2</v>
      </c>
      <c r="H77" s="225">
        <v>1.2</v>
      </c>
      <c r="I77" s="225">
        <v>1.2</v>
      </c>
    </row>
    <row r="78" spans="1:9" ht="18.75">
      <c r="A78" s="81" t="s">
        <v>71</v>
      </c>
      <c r="B78" s="61" t="s">
        <v>39</v>
      </c>
      <c r="C78" s="225">
        <v>1</v>
      </c>
      <c r="D78" s="225">
        <v>1</v>
      </c>
      <c r="E78" s="225">
        <v>0.99</v>
      </c>
      <c r="F78" s="225">
        <v>1</v>
      </c>
      <c r="G78" s="225">
        <v>1</v>
      </c>
      <c r="H78" s="225">
        <v>1</v>
      </c>
      <c r="I78" s="225">
        <v>1</v>
      </c>
    </row>
    <row r="79" spans="1:9" ht="37.5">
      <c r="A79" s="82" t="s">
        <v>72</v>
      </c>
      <c r="B79" s="61" t="s">
        <v>39</v>
      </c>
      <c r="C79" s="225">
        <v>0.4</v>
      </c>
      <c r="D79" s="225">
        <v>0.33</v>
      </c>
      <c r="E79" s="225">
        <v>0.31</v>
      </c>
      <c r="F79" s="225">
        <v>0.31</v>
      </c>
      <c r="G79" s="225">
        <v>0.31</v>
      </c>
      <c r="H79" s="225">
        <v>0.31</v>
      </c>
      <c r="I79" s="225">
        <v>0.31</v>
      </c>
    </row>
    <row r="80" spans="1:9" ht="18.75">
      <c r="A80" s="81" t="s">
        <v>74</v>
      </c>
      <c r="B80" s="61" t="s">
        <v>39</v>
      </c>
      <c r="C80" s="225">
        <v>0.65</v>
      </c>
      <c r="D80" s="225">
        <v>0.8</v>
      </c>
      <c r="E80" s="225">
        <v>0.76</v>
      </c>
      <c r="F80" s="225">
        <v>0.76</v>
      </c>
      <c r="G80" s="225">
        <v>0.76</v>
      </c>
      <c r="H80" s="225">
        <v>0.76</v>
      </c>
      <c r="I80" s="225">
        <v>0.76</v>
      </c>
    </row>
    <row r="81" spans="1:9" ht="54.75" customHeight="1">
      <c r="A81" s="83" t="s">
        <v>83</v>
      </c>
      <c r="B81" s="61" t="s">
        <v>39</v>
      </c>
      <c r="C81" s="225">
        <v>0.46</v>
      </c>
      <c r="D81" s="225">
        <v>0.47</v>
      </c>
      <c r="E81" s="225">
        <v>0.49</v>
      </c>
      <c r="F81" s="225">
        <v>0.51</v>
      </c>
      <c r="G81" s="225">
        <v>0.51</v>
      </c>
      <c r="H81" s="225">
        <v>0.51</v>
      </c>
      <c r="I81" s="225">
        <v>0.51</v>
      </c>
    </row>
    <row r="82" spans="1:9" ht="18.75">
      <c r="A82" s="84" t="s">
        <v>73</v>
      </c>
      <c r="B82" s="61"/>
      <c r="C82" s="225"/>
      <c r="D82" s="225"/>
      <c r="E82" s="225"/>
      <c r="F82" s="225"/>
      <c r="G82" s="225"/>
      <c r="H82" s="225"/>
      <c r="I82" s="225"/>
    </row>
    <row r="83" spans="1:9" ht="18.75">
      <c r="A83" s="85" t="s">
        <v>70</v>
      </c>
      <c r="B83" s="61" t="s">
        <v>39</v>
      </c>
      <c r="C83" s="225">
        <v>0.03</v>
      </c>
      <c r="D83" s="225">
        <v>0.03</v>
      </c>
      <c r="E83" s="225">
        <v>0.03</v>
      </c>
      <c r="F83" s="225">
        <v>0.04</v>
      </c>
      <c r="G83" s="225">
        <v>0.04</v>
      </c>
      <c r="H83" s="225">
        <v>0.04</v>
      </c>
      <c r="I83" s="225">
        <v>0.04</v>
      </c>
    </row>
    <row r="84" spans="1:9" ht="18.75">
      <c r="A84" s="60" t="s">
        <v>75</v>
      </c>
      <c r="B84" s="61" t="s">
        <v>39</v>
      </c>
      <c r="C84" s="225">
        <v>0.16</v>
      </c>
      <c r="D84" s="225">
        <v>0.16</v>
      </c>
      <c r="E84" s="225">
        <v>0.17</v>
      </c>
      <c r="F84" s="225">
        <v>0.17</v>
      </c>
      <c r="G84" s="225">
        <v>0.17</v>
      </c>
      <c r="H84" s="225">
        <v>0.17</v>
      </c>
      <c r="I84" s="225">
        <v>0.17</v>
      </c>
    </row>
    <row r="85" spans="1:9" ht="18.75">
      <c r="A85" s="60" t="s">
        <v>76</v>
      </c>
      <c r="B85" s="61" t="s">
        <v>39</v>
      </c>
      <c r="C85" s="225">
        <v>0.05</v>
      </c>
      <c r="D85" s="225">
        <v>0.05</v>
      </c>
      <c r="E85" s="225">
        <v>0.06</v>
      </c>
      <c r="F85" s="225">
        <v>7.0000000000000007E-2</v>
      </c>
      <c r="G85" s="225">
        <v>7.0000000000000007E-2</v>
      </c>
      <c r="H85" s="225">
        <v>7.0000000000000007E-2</v>
      </c>
      <c r="I85" s="225">
        <v>7.0000000000000007E-2</v>
      </c>
    </row>
    <row r="86" spans="1:9" ht="18.75">
      <c r="A86" s="60" t="s">
        <v>77</v>
      </c>
      <c r="B86" s="61" t="s">
        <v>38</v>
      </c>
      <c r="C86" s="225">
        <v>0.12</v>
      </c>
      <c r="D86" s="225">
        <v>0.13</v>
      </c>
      <c r="E86" s="225">
        <v>0.13</v>
      </c>
      <c r="F86" s="225">
        <v>0.13</v>
      </c>
      <c r="G86" s="225">
        <v>0.13</v>
      </c>
      <c r="H86" s="225">
        <v>0.13</v>
      </c>
      <c r="I86" s="225">
        <v>0.13</v>
      </c>
    </row>
    <row r="87" spans="1:9" ht="56.25">
      <c r="A87" s="86" t="s">
        <v>121</v>
      </c>
      <c r="B87" s="61" t="s">
        <v>39</v>
      </c>
      <c r="C87" s="225">
        <v>1.53</v>
      </c>
      <c r="D87" s="225">
        <v>1.39</v>
      </c>
      <c r="E87" s="225">
        <v>1.2</v>
      </c>
      <c r="F87" s="225">
        <v>1.2</v>
      </c>
      <c r="G87" s="225">
        <v>1.2</v>
      </c>
      <c r="H87" s="225">
        <v>1.2</v>
      </c>
      <c r="I87" s="225">
        <v>1.2</v>
      </c>
    </row>
    <row r="88" spans="1:9" ht="19.5">
      <c r="A88" s="67" t="s">
        <v>40</v>
      </c>
      <c r="B88" s="61"/>
      <c r="C88" s="225"/>
      <c r="D88" s="225"/>
      <c r="E88" s="225"/>
      <c r="F88" s="225"/>
      <c r="G88" s="225"/>
      <c r="H88" s="225"/>
      <c r="I88" s="225"/>
    </row>
    <row r="89" spans="1:9" ht="18.75">
      <c r="A89" s="87" t="s">
        <v>64</v>
      </c>
      <c r="B89" s="61" t="s">
        <v>39</v>
      </c>
      <c r="C89" s="225"/>
      <c r="D89" s="225"/>
      <c r="E89" s="225"/>
      <c r="F89" s="225"/>
      <c r="G89" s="225"/>
      <c r="H89" s="225"/>
      <c r="I89" s="225"/>
    </row>
    <row r="90" spans="1:9" ht="18.75">
      <c r="A90" s="88" t="s">
        <v>78</v>
      </c>
      <c r="B90" s="61" t="s">
        <v>38</v>
      </c>
      <c r="C90" s="225">
        <v>0.11</v>
      </c>
      <c r="D90" s="225">
        <v>0.15</v>
      </c>
      <c r="E90" s="225">
        <v>0.13</v>
      </c>
      <c r="F90" s="225">
        <v>0.13</v>
      </c>
      <c r="G90" s="225">
        <v>0.13</v>
      </c>
      <c r="H90" s="225">
        <v>0.13</v>
      </c>
      <c r="I90" s="225">
        <v>0.13</v>
      </c>
    </row>
    <row r="91" spans="1:9" ht="18.75">
      <c r="A91" s="89" t="s">
        <v>66</v>
      </c>
      <c r="B91" s="61" t="s">
        <v>39</v>
      </c>
      <c r="C91" s="225">
        <v>0.01</v>
      </c>
      <c r="D91" s="225">
        <v>0.01</v>
      </c>
      <c r="E91" s="225">
        <v>0.01</v>
      </c>
      <c r="F91" s="225">
        <v>0.01</v>
      </c>
      <c r="G91" s="225">
        <v>0.01</v>
      </c>
      <c r="H91" s="225">
        <v>0.01</v>
      </c>
      <c r="I91" s="225">
        <v>0.01</v>
      </c>
    </row>
    <row r="92" spans="1:9" ht="18.75">
      <c r="A92" s="89" t="s">
        <v>67</v>
      </c>
      <c r="B92" s="61" t="s">
        <v>39</v>
      </c>
      <c r="C92" s="225">
        <v>0.15</v>
      </c>
      <c r="D92" s="225">
        <v>0.08</v>
      </c>
      <c r="E92" s="225">
        <v>0.06</v>
      </c>
      <c r="F92" s="225">
        <v>0.06</v>
      </c>
      <c r="G92" s="225">
        <v>0.06</v>
      </c>
      <c r="H92" s="225">
        <v>0.06</v>
      </c>
      <c r="I92" s="225">
        <v>0.06</v>
      </c>
    </row>
    <row r="93" spans="1:9" ht="18" customHeight="1">
      <c r="A93" s="70" t="s">
        <v>68</v>
      </c>
      <c r="B93" s="61" t="s">
        <v>39</v>
      </c>
      <c r="C93" s="225">
        <v>0.27</v>
      </c>
      <c r="D93" s="225">
        <v>0.19</v>
      </c>
      <c r="E93" s="225">
        <v>0.19</v>
      </c>
      <c r="F93" s="225">
        <v>0.19</v>
      </c>
      <c r="G93" s="225">
        <v>0.19</v>
      </c>
      <c r="H93" s="225">
        <v>0.19</v>
      </c>
      <c r="I93" s="225">
        <v>0.19</v>
      </c>
    </row>
    <row r="94" spans="1:9" ht="18.75">
      <c r="A94" s="89" t="s">
        <v>29</v>
      </c>
      <c r="B94" s="61" t="s">
        <v>38</v>
      </c>
      <c r="C94" s="225">
        <v>0.03</v>
      </c>
      <c r="D94" s="225">
        <v>0.03</v>
      </c>
      <c r="E94" s="225">
        <v>0.02</v>
      </c>
      <c r="F94" s="225">
        <v>0.02</v>
      </c>
      <c r="G94" s="225">
        <v>0.02</v>
      </c>
      <c r="H94" s="225">
        <v>0.02</v>
      </c>
      <c r="I94" s="225">
        <v>0.02</v>
      </c>
    </row>
    <row r="95" spans="1:9" ht="18.75">
      <c r="A95" s="90" t="s">
        <v>33</v>
      </c>
      <c r="B95" s="61" t="s">
        <v>38</v>
      </c>
      <c r="C95" s="225">
        <v>0.39</v>
      </c>
      <c r="D95" s="225">
        <v>0.38</v>
      </c>
      <c r="E95" s="225">
        <v>0.33</v>
      </c>
      <c r="F95" s="225">
        <v>0.33</v>
      </c>
      <c r="G95" s="225">
        <v>0.33</v>
      </c>
      <c r="H95" s="225">
        <v>0.33</v>
      </c>
      <c r="I95" s="225">
        <v>0.33</v>
      </c>
    </row>
    <row r="96" spans="1:9" ht="18.75">
      <c r="A96" s="89" t="s">
        <v>69</v>
      </c>
      <c r="B96" s="61" t="s">
        <v>38</v>
      </c>
      <c r="C96" s="225">
        <v>0.03</v>
      </c>
      <c r="D96" s="225">
        <v>0.06</v>
      </c>
      <c r="E96" s="225">
        <v>0.04</v>
      </c>
      <c r="F96" s="225">
        <v>0.04</v>
      </c>
      <c r="G96" s="225">
        <v>0.04</v>
      </c>
      <c r="H96" s="225">
        <v>0.04</v>
      </c>
      <c r="I96" s="225">
        <v>0.04</v>
      </c>
    </row>
    <row r="97" spans="1:9" ht="18.75">
      <c r="A97" s="89" t="s">
        <v>74</v>
      </c>
      <c r="B97" s="61" t="s">
        <v>38</v>
      </c>
      <c r="C97" s="225">
        <v>0.54</v>
      </c>
      <c r="D97" s="225">
        <v>0.49</v>
      </c>
      <c r="E97" s="225">
        <v>0.42</v>
      </c>
      <c r="F97" s="225">
        <v>0.42</v>
      </c>
      <c r="G97" s="225">
        <v>0.42</v>
      </c>
      <c r="H97" s="225">
        <v>0.42</v>
      </c>
      <c r="I97" s="225">
        <v>0.42</v>
      </c>
    </row>
    <row r="98" spans="1:9" ht="39">
      <c r="A98" s="71" t="s">
        <v>137</v>
      </c>
      <c r="B98" s="61" t="s">
        <v>21</v>
      </c>
      <c r="C98" s="225">
        <v>1.31</v>
      </c>
      <c r="D98" s="225">
        <v>1.21</v>
      </c>
      <c r="E98" s="225">
        <v>1.4</v>
      </c>
      <c r="F98" s="225">
        <v>1.3</v>
      </c>
      <c r="G98" s="226">
        <v>1.5</v>
      </c>
      <c r="H98" s="225">
        <v>1.4</v>
      </c>
      <c r="I98" s="226">
        <v>1.4</v>
      </c>
    </row>
    <row r="99" spans="1:9" ht="58.5">
      <c r="A99" s="67" t="s">
        <v>125</v>
      </c>
      <c r="B99" s="61" t="s">
        <v>22</v>
      </c>
      <c r="C99" s="217">
        <v>29357.9</v>
      </c>
      <c r="D99" s="217">
        <v>30149.9</v>
      </c>
      <c r="E99" s="217">
        <v>29988.400000000001</v>
      </c>
      <c r="F99" s="217">
        <v>31457.9</v>
      </c>
      <c r="G99" s="217">
        <v>31187.9</v>
      </c>
      <c r="H99" s="217">
        <v>32873.5</v>
      </c>
      <c r="I99" s="217">
        <v>34188.400000000001</v>
      </c>
    </row>
    <row r="100" spans="1:9" ht="19.5">
      <c r="A100" s="67" t="s">
        <v>40</v>
      </c>
      <c r="B100" s="61"/>
      <c r="C100" s="217"/>
      <c r="D100" s="217"/>
      <c r="E100" s="217"/>
      <c r="F100" s="224"/>
      <c r="G100" s="217"/>
      <c r="H100" s="224"/>
      <c r="I100" s="217"/>
    </row>
    <row r="101" spans="1:9" ht="18.75">
      <c r="A101" s="80" t="s">
        <v>64</v>
      </c>
      <c r="B101" s="61" t="s">
        <v>22</v>
      </c>
      <c r="C101" s="217"/>
      <c r="D101" s="217"/>
      <c r="E101" s="217"/>
      <c r="F101" s="217"/>
      <c r="G101" s="217"/>
      <c r="H101" s="217"/>
      <c r="I101" s="217"/>
    </row>
    <row r="102" spans="1:9" ht="18.75">
      <c r="A102" s="69" t="s">
        <v>78</v>
      </c>
      <c r="B102" s="61" t="s">
        <v>22</v>
      </c>
      <c r="C102" s="217">
        <v>7383</v>
      </c>
      <c r="D102" s="217">
        <v>9143.5</v>
      </c>
      <c r="E102" s="217">
        <v>11495</v>
      </c>
      <c r="F102" s="217">
        <v>12058.2</v>
      </c>
      <c r="G102" s="217">
        <v>11954.8</v>
      </c>
      <c r="H102" s="217">
        <v>12600.9</v>
      </c>
      <c r="I102" s="217">
        <v>13104.9</v>
      </c>
    </row>
    <row r="103" spans="1:9" ht="18.75">
      <c r="A103" s="81" t="s">
        <v>66</v>
      </c>
      <c r="B103" s="61" t="s">
        <v>22</v>
      </c>
      <c r="C103" s="217">
        <v>9970.6</v>
      </c>
      <c r="D103" s="217">
        <v>9814.1</v>
      </c>
      <c r="E103" s="217">
        <v>12500</v>
      </c>
      <c r="F103" s="217">
        <v>13112.5</v>
      </c>
      <c r="G103" s="217">
        <v>13000</v>
      </c>
      <c r="H103" s="217">
        <v>13702.6</v>
      </c>
      <c r="I103" s="217">
        <v>14250.7</v>
      </c>
    </row>
    <row r="104" spans="1:9" ht="18.75">
      <c r="A104" s="81" t="s">
        <v>67</v>
      </c>
      <c r="B104" s="61" t="s">
        <v>22</v>
      </c>
      <c r="C104" s="217">
        <v>28510.2</v>
      </c>
      <c r="D104" s="217">
        <v>34100.9</v>
      </c>
      <c r="E104" s="217">
        <v>28839.4</v>
      </c>
      <c r="F104" s="217">
        <v>30252.5</v>
      </c>
      <c r="G104" s="217">
        <v>29993</v>
      </c>
      <c r="H104" s="217">
        <v>31613.9</v>
      </c>
      <c r="I104" s="217">
        <v>32878.400000000001</v>
      </c>
    </row>
    <row r="105" spans="1:9" ht="18.75">
      <c r="A105" s="81" t="s">
        <v>68</v>
      </c>
      <c r="B105" s="61" t="s">
        <v>22</v>
      </c>
      <c r="C105" s="217">
        <v>23892.400000000001</v>
      </c>
      <c r="D105" s="217">
        <v>28401.3</v>
      </c>
      <c r="E105" s="217">
        <v>28677.4</v>
      </c>
      <c r="F105" s="217">
        <v>30082.6</v>
      </c>
      <c r="G105" s="217">
        <v>29824.5</v>
      </c>
      <c r="H105" s="217">
        <v>31436.3</v>
      </c>
      <c r="I105" s="217">
        <v>32693.8</v>
      </c>
    </row>
    <row r="106" spans="1:9" ht="18.75">
      <c r="A106" s="81" t="s">
        <v>29</v>
      </c>
      <c r="B106" s="61" t="s">
        <v>22</v>
      </c>
      <c r="C106" s="217">
        <v>26740.7</v>
      </c>
      <c r="D106" s="217">
        <v>25106.2</v>
      </c>
      <c r="E106" s="217">
        <v>23060.7</v>
      </c>
      <c r="F106" s="217">
        <v>24190.7</v>
      </c>
      <c r="G106" s="217">
        <v>23983.1</v>
      </c>
      <c r="H106" s="217">
        <v>25279.3</v>
      </c>
      <c r="I106" s="217">
        <v>26290.5</v>
      </c>
    </row>
    <row r="107" spans="1:9" ht="56.25">
      <c r="A107" s="90" t="s">
        <v>2</v>
      </c>
      <c r="B107" s="61" t="s">
        <v>22</v>
      </c>
      <c r="C107" s="217">
        <v>14289.3</v>
      </c>
      <c r="D107" s="217">
        <v>16048.3</v>
      </c>
      <c r="E107" s="217">
        <v>19747.8</v>
      </c>
      <c r="F107" s="217">
        <v>20715.400000000001</v>
      </c>
      <c r="G107" s="217">
        <v>20537.7</v>
      </c>
      <c r="H107" s="217">
        <v>21647.599999999999</v>
      </c>
      <c r="I107" s="217">
        <v>22513.5</v>
      </c>
    </row>
    <row r="108" spans="1:9" ht="18.75">
      <c r="A108" s="81" t="s">
        <v>69</v>
      </c>
      <c r="B108" s="61" t="s">
        <v>22</v>
      </c>
      <c r="C108" s="217">
        <v>46333</v>
      </c>
      <c r="D108" s="217">
        <v>47095.6</v>
      </c>
      <c r="E108" s="217">
        <v>47459.199999999997</v>
      </c>
      <c r="F108" s="217">
        <v>49784.7</v>
      </c>
      <c r="G108" s="217">
        <v>49357.599999999999</v>
      </c>
      <c r="H108" s="217">
        <v>52025</v>
      </c>
      <c r="I108" s="217">
        <v>54106</v>
      </c>
    </row>
    <row r="109" spans="1:9" ht="37.5">
      <c r="A109" s="69" t="s">
        <v>65</v>
      </c>
      <c r="B109" s="61" t="s">
        <v>22</v>
      </c>
      <c r="C109" s="217">
        <v>48507</v>
      </c>
      <c r="D109" s="217">
        <v>47257.7</v>
      </c>
      <c r="E109" s="217">
        <v>41260.699999999997</v>
      </c>
      <c r="F109" s="217">
        <v>43282.5</v>
      </c>
      <c r="G109" s="217">
        <v>42911.1</v>
      </c>
      <c r="H109" s="217">
        <v>43117.4</v>
      </c>
      <c r="I109" s="217">
        <v>44842.1</v>
      </c>
    </row>
    <row r="110" spans="1:9" ht="18.75">
      <c r="A110" s="81" t="s">
        <v>70</v>
      </c>
      <c r="B110" s="61" t="s">
        <v>22</v>
      </c>
      <c r="C110" s="217">
        <v>21282.3</v>
      </c>
      <c r="D110" s="217">
        <v>21705.1</v>
      </c>
      <c r="E110" s="217">
        <v>21448.2</v>
      </c>
      <c r="F110" s="217">
        <v>22499.200000000001</v>
      </c>
      <c r="G110" s="217">
        <v>22306.1</v>
      </c>
      <c r="H110" s="217">
        <v>23511.7</v>
      </c>
      <c r="I110" s="217">
        <v>24452.1</v>
      </c>
    </row>
    <row r="111" spans="1:9" ht="18.75">
      <c r="A111" s="81" t="s">
        <v>71</v>
      </c>
      <c r="B111" s="61" t="s">
        <v>22</v>
      </c>
      <c r="C111" s="217">
        <v>23602.799999999999</v>
      </c>
      <c r="D111" s="217">
        <v>24363.599999999999</v>
      </c>
      <c r="E111" s="217">
        <v>22927</v>
      </c>
      <c r="F111" s="217">
        <v>24050.400000000001</v>
      </c>
      <c r="G111" s="217">
        <v>23488.1</v>
      </c>
      <c r="H111" s="217">
        <v>25132.7</v>
      </c>
      <c r="I111" s="217">
        <v>26138</v>
      </c>
    </row>
    <row r="112" spans="1:9" ht="37.5">
      <c r="A112" s="82" t="s">
        <v>72</v>
      </c>
      <c r="B112" s="61" t="s">
        <v>22</v>
      </c>
      <c r="C112" s="217">
        <v>16428.400000000001</v>
      </c>
      <c r="D112" s="217">
        <v>19916.7</v>
      </c>
      <c r="E112" s="217">
        <v>19283.400000000001</v>
      </c>
      <c r="F112" s="217">
        <v>20228.3</v>
      </c>
      <c r="G112" s="217">
        <v>20054.7</v>
      </c>
      <c r="H112" s="217">
        <v>21138.6</v>
      </c>
      <c r="I112" s="217">
        <v>21984.1</v>
      </c>
    </row>
    <row r="113" spans="1:14" ht="18.75">
      <c r="A113" s="81" t="s">
        <v>74</v>
      </c>
      <c r="B113" s="61" t="s">
        <v>22</v>
      </c>
      <c r="C113" s="217">
        <v>21425.200000000001</v>
      </c>
      <c r="D113" s="217">
        <v>22900.6</v>
      </c>
      <c r="E113" s="217">
        <v>22996.799999999999</v>
      </c>
      <c r="F113" s="217">
        <v>24123.599999999999</v>
      </c>
      <c r="G113" s="217">
        <v>23916.7</v>
      </c>
      <c r="H113" s="217">
        <v>25209.200000000001</v>
      </c>
      <c r="I113" s="217">
        <v>26217.5</v>
      </c>
    </row>
    <row r="114" spans="1:14" ht="58.9" customHeight="1">
      <c r="A114" s="83" t="s">
        <v>160</v>
      </c>
      <c r="B114" s="61" t="s">
        <v>22</v>
      </c>
      <c r="C114" s="217">
        <v>23913</v>
      </c>
      <c r="D114" s="217">
        <v>23800.400000000001</v>
      </c>
      <c r="E114" s="217">
        <v>23768</v>
      </c>
      <c r="F114" s="217">
        <v>30069.3</v>
      </c>
      <c r="G114" s="217">
        <v>24718.7</v>
      </c>
      <c r="H114" s="217">
        <v>33039.9</v>
      </c>
      <c r="I114" s="217">
        <v>34068</v>
      </c>
    </row>
    <row r="115" spans="1:14" ht="18.75">
      <c r="A115" s="84" t="s">
        <v>159</v>
      </c>
      <c r="B115" s="61"/>
      <c r="C115" s="217"/>
      <c r="D115" s="217"/>
      <c r="E115" s="217"/>
      <c r="F115" s="217"/>
      <c r="G115" s="217"/>
      <c r="H115" s="217"/>
      <c r="I115" s="217"/>
    </row>
    <row r="116" spans="1:14" ht="18.75">
      <c r="A116" s="85" t="s">
        <v>70</v>
      </c>
      <c r="B116" s="61" t="s">
        <v>22</v>
      </c>
      <c r="C116" s="217">
        <v>15404</v>
      </c>
      <c r="D116" s="217">
        <v>16541.099999999999</v>
      </c>
      <c r="E116" s="217">
        <v>19214.7</v>
      </c>
      <c r="F116" s="217">
        <v>26565</v>
      </c>
      <c r="G116" s="217">
        <v>26565</v>
      </c>
      <c r="H116" s="217">
        <v>30870</v>
      </c>
      <c r="I116" s="217">
        <v>33380</v>
      </c>
    </row>
    <row r="117" spans="1:14" ht="18.75">
      <c r="A117" s="60" t="s">
        <v>75</v>
      </c>
      <c r="B117" s="61" t="s">
        <v>22</v>
      </c>
      <c r="C117" s="217">
        <v>20348</v>
      </c>
      <c r="D117" s="217">
        <v>21380</v>
      </c>
      <c r="E117" s="217">
        <v>21527.5</v>
      </c>
      <c r="F117" s="217">
        <v>35538.400000000001</v>
      </c>
      <c r="G117" s="217">
        <v>35538.400000000001</v>
      </c>
      <c r="H117" s="217">
        <v>40390.6</v>
      </c>
      <c r="I117" s="217">
        <v>40390.6</v>
      </c>
    </row>
    <row r="118" spans="1:14" ht="18.75">
      <c r="A118" s="60" t="s">
        <v>76</v>
      </c>
      <c r="B118" s="61" t="s">
        <v>22</v>
      </c>
      <c r="C118" s="217">
        <v>18417.099999999999</v>
      </c>
      <c r="D118" s="217">
        <v>18782.900000000001</v>
      </c>
      <c r="E118" s="217">
        <v>19140</v>
      </c>
      <c r="F118" s="217">
        <v>24450</v>
      </c>
      <c r="G118" s="217">
        <v>24450</v>
      </c>
      <c r="H118" s="217">
        <v>27750</v>
      </c>
      <c r="I118" s="217">
        <v>29900</v>
      </c>
    </row>
    <row r="119" spans="1:14" ht="18.75">
      <c r="A119" s="60" t="s">
        <v>77</v>
      </c>
      <c r="B119" s="61" t="s">
        <v>22</v>
      </c>
      <c r="C119" s="217">
        <v>32508.1</v>
      </c>
      <c r="D119" s="217">
        <v>30338.1</v>
      </c>
      <c r="E119" s="217">
        <v>30338.1</v>
      </c>
      <c r="F119" s="217">
        <v>31824.6</v>
      </c>
      <c r="G119" s="217">
        <v>31824.6</v>
      </c>
      <c r="H119" s="217">
        <v>33256.699999999997</v>
      </c>
      <c r="I119" s="217">
        <v>34587</v>
      </c>
    </row>
    <row r="120" spans="1:14" ht="60" customHeight="1">
      <c r="A120" s="101" t="s">
        <v>118</v>
      </c>
      <c r="B120" s="61" t="s">
        <v>22</v>
      </c>
      <c r="C120" s="217">
        <v>13093.8</v>
      </c>
      <c r="D120" s="217">
        <v>13677.7</v>
      </c>
      <c r="E120" s="217">
        <v>16761.7</v>
      </c>
      <c r="F120" s="217">
        <v>17583</v>
      </c>
      <c r="G120" s="217">
        <v>17432.2</v>
      </c>
      <c r="H120" s="217">
        <v>18374.2</v>
      </c>
      <c r="I120" s="217">
        <v>19109.2</v>
      </c>
    </row>
    <row r="121" spans="1:14" ht="42.75" customHeight="1">
      <c r="A121" s="102" t="s">
        <v>123</v>
      </c>
      <c r="B121" s="61"/>
      <c r="C121" s="217">
        <v>2886</v>
      </c>
      <c r="D121" s="217">
        <v>2890.8</v>
      </c>
      <c r="E121" s="217">
        <v>2758.7</v>
      </c>
      <c r="F121" s="217">
        <v>2907.1</v>
      </c>
      <c r="G121" s="217">
        <v>2869.1</v>
      </c>
      <c r="H121" s="217">
        <v>3135.7</v>
      </c>
      <c r="I121" s="217">
        <v>3262.9</v>
      </c>
    </row>
    <row r="122" spans="1:14" ht="18.75">
      <c r="A122" s="103" t="s">
        <v>40</v>
      </c>
      <c r="B122" s="61" t="s">
        <v>19</v>
      </c>
      <c r="C122" s="217"/>
      <c r="D122" s="217"/>
      <c r="E122" s="217"/>
      <c r="F122" s="217"/>
      <c r="G122" s="217"/>
      <c r="H122" s="217"/>
      <c r="I122" s="217"/>
    </row>
    <row r="123" spans="1:14" ht="37.5">
      <c r="A123" s="103" t="s">
        <v>124</v>
      </c>
      <c r="B123" s="61"/>
      <c r="C123" s="217">
        <v>240.6</v>
      </c>
      <c r="D123" s="217">
        <v>228.8</v>
      </c>
      <c r="E123" s="217">
        <v>242.2</v>
      </c>
      <c r="F123" s="217">
        <v>254.3</v>
      </c>
      <c r="G123" s="217">
        <v>251.9</v>
      </c>
      <c r="H123" s="217">
        <v>265.7</v>
      </c>
      <c r="I123" s="217">
        <v>276.3</v>
      </c>
    </row>
    <row r="124" spans="1:14" ht="37.5">
      <c r="A124" s="103" t="s">
        <v>129</v>
      </c>
      <c r="B124" s="61" t="s">
        <v>19</v>
      </c>
      <c r="C124" s="217"/>
      <c r="D124" s="217"/>
      <c r="E124" s="217"/>
      <c r="F124" s="217"/>
      <c r="G124" s="217"/>
      <c r="H124" s="217"/>
      <c r="I124" s="217"/>
    </row>
    <row r="125" spans="1:14" ht="37.5">
      <c r="A125" s="103" t="s">
        <v>138</v>
      </c>
      <c r="B125" s="61" t="s">
        <v>19</v>
      </c>
      <c r="C125" s="217">
        <v>132</v>
      </c>
      <c r="D125" s="217">
        <v>135.4</v>
      </c>
      <c r="E125" s="217">
        <v>139.19999999999999</v>
      </c>
      <c r="F125" s="217">
        <v>185.5</v>
      </c>
      <c r="G125" s="217">
        <v>144.80000000000001</v>
      </c>
      <c r="H125" s="217">
        <v>203.8</v>
      </c>
      <c r="I125" s="217">
        <v>210.1</v>
      </c>
    </row>
    <row r="126" spans="1:14" ht="18.75">
      <c r="A126" s="29" t="s">
        <v>41</v>
      </c>
      <c r="B126" s="61" t="s">
        <v>19</v>
      </c>
      <c r="C126" s="217">
        <v>38.700000000000003</v>
      </c>
      <c r="D126" s="217">
        <v>45.6</v>
      </c>
      <c r="E126" s="217">
        <v>27.1</v>
      </c>
      <c r="F126" s="217">
        <v>27.1</v>
      </c>
      <c r="G126" s="217">
        <v>27.1</v>
      </c>
      <c r="H126" s="217">
        <v>27.1</v>
      </c>
      <c r="I126" s="217">
        <v>27.1</v>
      </c>
    </row>
    <row r="127" spans="1:14" ht="18.75">
      <c r="A127" s="29" t="s">
        <v>7</v>
      </c>
      <c r="B127" s="61" t="s">
        <v>19</v>
      </c>
      <c r="C127" s="217"/>
      <c r="D127" s="217"/>
      <c r="E127" s="217"/>
      <c r="F127" s="217"/>
      <c r="G127" s="217"/>
      <c r="H127" s="217"/>
      <c r="I127" s="217"/>
    </row>
    <row r="128" spans="1:14" ht="31.5">
      <c r="A128" s="115" t="s">
        <v>141</v>
      </c>
      <c r="B128" s="64" t="s">
        <v>19</v>
      </c>
      <c r="C128" s="218">
        <v>2924.7</v>
      </c>
      <c r="D128" s="218">
        <v>2936.4</v>
      </c>
      <c r="E128" s="218">
        <v>2785.8</v>
      </c>
      <c r="F128" s="218">
        <v>2934.2</v>
      </c>
      <c r="G128" s="218">
        <v>2896.2</v>
      </c>
      <c r="H128" s="218">
        <v>3162.8</v>
      </c>
      <c r="I128" s="218">
        <v>3290</v>
      </c>
      <c r="N128" t="s">
        <v>162</v>
      </c>
    </row>
    <row r="129" spans="1:12" ht="18.75">
      <c r="A129" s="237" t="s">
        <v>156</v>
      </c>
      <c r="B129" s="238"/>
      <c r="C129" s="238"/>
      <c r="D129" s="238"/>
      <c r="E129" s="238"/>
      <c r="F129" s="238"/>
      <c r="G129" s="238"/>
      <c r="H129" s="238"/>
      <c r="I129" s="238"/>
    </row>
    <row r="130" spans="1:12" ht="39">
      <c r="A130" s="116" t="s">
        <v>148</v>
      </c>
      <c r="B130" s="64" t="s">
        <v>19</v>
      </c>
      <c r="C130" s="221">
        <v>172</v>
      </c>
      <c r="D130" s="221">
        <v>175</v>
      </c>
      <c r="E130" s="221">
        <v>175</v>
      </c>
      <c r="F130" s="221">
        <v>177</v>
      </c>
      <c r="G130" s="221">
        <v>177</v>
      </c>
      <c r="H130" s="221">
        <v>170</v>
      </c>
      <c r="I130" s="221">
        <v>172</v>
      </c>
    </row>
    <row r="131" spans="1:12" ht="18.75">
      <c r="A131" s="103" t="s">
        <v>40</v>
      </c>
      <c r="B131" s="64" t="s">
        <v>19</v>
      </c>
      <c r="C131" s="215"/>
      <c r="D131" s="215"/>
      <c r="E131" s="215"/>
      <c r="F131" s="215"/>
      <c r="G131" s="215"/>
      <c r="H131" s="215"/>
      <c r="I131" s="215"/>
    </row>
    <row r="132" spans="1:12" ht="18.75">
      <c r="A132" s="29" t="s">
        <v>146</v>
      </c>
      <c r="B132" s="64" t="s">
        <v>19</v>
      </c>
      <c r="C132" s="217">
        <v>102</v>
      </c>
      <c r="D132" s="217">
        <v>99</v>
      </c>
      <c r="E132" s="217">
        <v>101</v>
      </c>
      <c r="F132" s="217">
        <v>103</v>
      </c>
      <c r="G132" s="217">
        <v>103</v>
      </c>
      <c r="H132" s="217">
        <v>105</v>
      </c>
      <c r="I132" s="217">
        <v>107</v>
      </c>
    </row>
    <row r="133" spans="1:12" ht="18.75">
      <c r="A133" s="29" t="s">
        <v>147</v>
      </c>
      <c r="B133" s="64"/>
      <c r="C133" s="217"/>
      <c r="D133" s="217"/>
      <c r="E133" s="217"/>
      <c r="F133" s="217"/>
      <c r="G133" s="217"/>
      <c r="H133" s="217"/>
      <c r="I133" s="217"/>
    </row>
    <row r="134" spans="1:12" ht="18.75">
      <c r="A134" s="122" t="s">
        <v>142</v>
      </c>
      <c r="B134" s="64" t="s">
        <v>19</v>
      </c>
      <c r="C134" s="217">
        <v>16</v>
      </c>
      <c r="D134" s="217">
        <v>17</v>
      </c>
      <c r="E134" s="217">
        <v>18</v>
      </c>
      <c r="F134" s="217">
        <v>19</v>
      </c>
      <c r="G134" s="217">
        <v>19</v>
      </c>
      <c r="H134" s="217">
        <v>19</v>
      </c>
      <c r="I134" s="217">
        <v>19</v>
      </c>
    </row>
    <row r="135" spans="1:12" ht="31.5">
      <c r="A135" s="118" t="s">
        <v>161</v>
      </c>
      <c r="B135" s="64" t="s">
        <v>19</v>
      </c>
      <c r="C135" s="241" t="s">
        <v>403</v>
      </c>
      <c r="D135" s="242"/>
      <c r="E135" s="242"/>
      <c r="F135" s="242"/>
      <c r="G135" s="242"/>
      <c r="H135" s="242"/>
      <c r="I135" s="242"/>
    </row>
    <row r="136" spans="1:12" ht="18.75">
      <c r="A136" s="118" t="s">
        <v>158</v>
      </c>
      <c r="B136" s="64" t="s">
        <v>19</v>
      </c>
      <c r="C136" s="217"/>
      <c r="D136" s="217"/>
      <c r="E136" s="217"/>
      <c r="F136" s="217"/>
      <c r="G136" s="217"/>
      <c r="H136" s="217"/>
      <c r="I136" s="217"/>
    </row>
    <row r="137" spans="1:12" ht="18.75">
      <c r="A137" s="122" t="s">
        <v>143</v>
      </c>
      <c r="B137" s="64" t="s">
        <v>19</v>
      </c>
      <c r="C137" s="217">
        <v>8</v>
      </c>
      <c r="D137" s="217">
        <v>8</v>
      </c>
      <c r="E137" s="217">
        <v>8</v>
      </c>
      <c r="F137" s="217">
        <v>9</v>
      </c>
      <c r="G137" s="217">
        <v>9</v>
      </c>
      <c r="H137" s="217">
        <v>9</v>
      </c>
      <c r="I137" s="217">
        <v>9</v>
      </c>
      <c r="L137" t="s">
        <v>150</v>
      </c>
    </row>
    <row r="138" spans="1:12" ht="36.6" customHeight="1">
      <c r="A138" s="118" t="s">
        <v>163</v>
      </c>
      <c r="B138" s="64" t="s">
        <v>19</v>
      </c>
      <c r="C138" s="241" t="s">
        <v>403</v>
      </c>
      <c r="D138" s="242"/>
      <c r="E138" s="242"/>
      <c r="F138" s="242"/>
      <c r="G138" s="242"/>
      <c r="H138" s="242"/>
      <c r="I138" s="242"/>
      <c r="L138" t="s">
        <v>149</v>
      </c>
    </row>
    <row r="139" spans="1:12" ht="18.75">
      <c r="A139" s="29" t="s">
        <v>157</v>
      </c>
      <c r="B139" s="64"/>
      <c r="C139" s="217"/>
      <c r="D139" s="217"/>
      <c r="E139" s="217"/>
      <c r="F139" s="217"/>
      <c r="G139" s="217"/>
      <c r="H139" s="217"/>
      <c r="I139" s="217"/>
    </row>
    <row r="140" spans="1:12" ht="18.75">
      <c r="A140" s="117" t="s">
        <v>144</v>
      </c>
      <c r="B140" s="64" t="s">
        <v>19</v>
      </c>
      <c r="C140" s="218">
        <v>15</v>
      </c>
      <c r="D140" s="218">
        <v>16</v>
      </c>
      <c r="E140" s="218">
        <v>16</v>
      </c>
      <c r="F140" s="218">
        <v>17</v>
      </c>
      <c r="G140" s="218">
        <v>17</v>
      </c>
      <c r="H140" s="218">
        <v>17.3</v>
      </c>
      <c r="I140" s="218">
        <v>17.8</v>
      </c>
    </row>
    <row r="141" spans="1:12" s="121" customFormat="1" ht="33.75" customHeight="1">
      <c r="A141" s="119" t="s">
        <v>145</v>
      </c>
      <c r="B141" s="120" t="s">
        <v>19</v>
      </c>
      <c r="C141" s="222"/>
      <c r="D141" s="222"/>
      <c r="E141" s="222"/>
      <c r="F141" s="222"/>
      <c r="G141" s="222"/>
      <c r="H141" s="222"/>
      <c r="I141" s="222"/>
    </row>
    <row r="142" spans="1:12" s="212" customFormat="1" ht="33.75" customHeight="1">
      <c r="A142" s="239" t="s">
        <v>402</v>
      </c>
      <c r="B142" s="239"/>
      <c r="C142" s="239"/>
      <c r="D142" s="239"/>
      <c r="E142" s="239"/>
      <c r="F142" s="239"/>
      <c r="G142" s="239"/>
      <c r="H142" s="239"/>
      <c r="I142" s="239"/>
    </row>
    <row r="143" spans="1:12" ht="15">
      <c r="A143" s="240"/>
      <c r="B143" s="240"/>
      <c r="C143" s="240"/>
      <c r="D143" s="240"/>
      <c r="E143" s="240"/>
      <c r="F143" s="240"/>
      <c r="G143" s="240"/>
      <c r="H143" s="240"/>
      <c r="I143" s="240"/>
    </row>
    <row r="144" spans="1:12" ht="19.5" customHeight="1">
      <c r="A144" s="235"/>
      <c r="B144" s="235"/>
      <c r="C144" s="235"/>
      <c r="D144" s="235"/>
      <c r="E144" s="235"/>
      <c r="F144" s="235"/>
      <c r="G144" s="235"/>
      <c r="H144" s="235"/>
      <c r="I144" s="235"/>
    </row>
    <row r="145" spans="1:9" ht="47.25" hidden="1" customHeight="1">
      <c r="A145" s="236"/>
      <c r="B145" s="236"/>
      <c r="C145" s="236"/>
      <c r="D145" s="236"/>
      <c r="E145" s="236"/>
      <c r="F145" s="236"/>
      <c r="G145" s="236"/>
      <c r="H145" s="236"/>
      <c r="I145" s="236"/>
    </row>
  </sheetData>
  <mergeCells count="23">
    <mergeCell ref="H1:I1"/>
    <mergeCell ref="H2:I2"/>
    <mergeCell ref="A1:F1"/>
    <mergeCell ref="D6:D8"/>
    <mergeCell ref="C6:C8"/>
    <mergeCell ref="E6:E8"/>
    <mergeCell ref="A4:I4"/>
    <mergeCell ref="F7:G7"/>
    <mergeCell ref="H7:H8"/>
    <mergeCell ref="F6:I6"/>
    <mergeCell ref="A6:A8"/>
    <mergeCell ref="B6:B8"/>
    <mergeCell ref="I7:I8"/>
    <mergeCell ref="A9:I9"/>
    <mergeCell ref="A144:I144"/>
    <mergeCell ref="A145:I145"/>
    <mergeCell ref="A23:I23"/>
    <mergeCell ref="A129:I129"/>
    <mergeCell ref="A64:I64"/>
    <mergeCell ref="A142:I142"/>
    <mergeCell ref="A143:I143"/>
    <mergeCell ref="C135:I135"/>
    <mergeCell ref="C138:I138"/>
  </mergeCells>
  <phoneticPr fontId="15" type="noConversion"/>
  <printOptions horizontalCentered="1"/>
  <pageMargins left="0.39370078740157483" right="0.39370078740157483" top="0.19685039370078741" bottom="0.19685039370078741" header="0" footer="0"/>
  <pageSetup paperSize="9" scale="71" fitToHeight="0" orientation="landscape" r:id="rId1"/>
  <headerFooter alignWithMargins="0"/>
  <rowBreaks count="1" manualBreakCount="1">
    <brk id="2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0"/>
    <pageSetUpPr fitToPage="1"/>
  </sheetPr>
  <dimension ref="A1:AO254"/>
  <sheetViews>
    <sheetView view="pageBreakPreview" topLeftCell="A211" zoomScale="60" zoomScaleNormal="100" workbookViewId="0">
      <selection activeCell="R85" sqref="R85"/>
    </sheetView>
  </sheetViews>
  <sheetFormatPr defaultRowHeight="12.75"/>
  <cols>
    <col min="1" max="1" width="34.5703125" customWidth="1"/>
    <col min="2" max="2" width="20.5703125" customWidth="1"/>
    <col min="3" max="3" width="15" customWidth="1"/>
    <col min="4" max="10" width="9.7109375" customWidth="1"/>
    <col min="11" max="11" width="12.42578125" customWidth="1"/>
    <col min="12" max="15" width="9.7109375" customWidth="1"/>
    <col min="16" max="16" width="9.140625" customWidth="1"/>
    <col min="17" max="17" width="12.5703125" customWidth="1"/>
    <col min="18" max="18" width="10.28515625" customWidth="1"/>
    <col min="19" max="19" width="9" customWidth="1"/>
    <col min="20" max="20" width="9.140625" customWidth="1"/>
    <col min="21" max="21" width="9.28515625" customWidth="1"/>
    <col min="22" max="22" width="10.5703125" customWidth="1"/>
    <col min="23" max="25" width="9.7109375" customWidth="1"/>
    <col min="26" max="26" width="9.85546875" customWidth="1"/>
    <col min="27" max="27" width="9.7109375" customWidth="1"/>
    <col min="28" max="28" width="11.5703125" customWidth="1"/>
    <col min="29" max="29" width="12.85546875" customWidth="1"/>
    <col min="30" max="30" width="12.5703125" customWidth="1"/>
    <col min="31" max="31" width="11.42578125" customWidth="1"/>
    <col min="32" max="32" width="11.140625" customWidth="1"/>
    <col min="33" max="33" width="11.28515625" customWidth="1"/>
    <col min="34" max="34" width="9.85546875" customWidth="1"/>
    <col min="35" max="36" width="10" customWidth="1"/>
    <col min="37" max="37" width="10.140625" customWidth="1"/>
    <col min="38" max="39" width="9.28515625" customWidth="1"/>
  </cols>
  <sheetData>
    <row r="1" spans="1:41" ht="27" customHeight="1"/>
    <row r="2" spans="1:41" ht="15.75" customHeight="1">
      <c r="D2" s="262" t="s">
        <v>132</v>
      </c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3" t="s">
        <v>98</v>
      </c>
      <c r="S2" s="264"/>
      <c r="T2" s="264"/>
      <c r="U2" s="264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</row>
    <row r="4" spans="1:41" ht="15.75">
      <c r="A4" s="98"/>
      <c r="B4" s="98"/>
      <c r="C4" s="265" t="s">
        <v>170</v>
      </c>
      <c r="D4" s="266" t="s">
        <v>9</v>
      </c>
      <c r="E4" s="266"/>
      <c r="F4" s="266"/>
      <c r="G4" s="266"/>
      <c r="H4" s="266"/>
      <c r="I4" s="267"/>
      <c r="J4" s="268" t="s">
        <v>91</v>
      </c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7"/>
      <c r="V4" s="271" t="s">
        <v>92</v>
      </c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3"/>
      <c r="AO4" s="3"/>
    </row>
    <row r="5" spans="1:41" ht="58.5" customHeight="1">
      <c r="A5" s="99"/>
      <c r="B5" s="99"/>
      <c r="C5" s="265"/>
      <c r="D5" s="272" t="s">
        <v>94</v>
      </c>
      <c r="E5" s="272"/>
      <c r="F5" s="272"/>
      <c r="G5" s="272"/>
      <c r="H5" s="272"/>
      <c r="I5" s="273"/>
      <c r="J5" s="274" t="s">
        <v>1</v>
      </c>
      <c r="K5" s="272"/>
      <c r="L5" s="272"/>
      <c r="M5" s="272"/>
      <c r="N5" s="272"/>
      <c r="O5" s="273"/>
      <c r="P5" s="274" t="s">
        <v>111</v>
      </c>
      <c r="Q5" s="272"/>
      <c r="R5" s="272"/>
      <c r="S5" s="272"/>
      <c r="T5" s="272"/>
      <c r="U5" s="273"/>
      <c r="V5" s="274" t="s">
        <v>0</v>
      </c>
      <c r="W5" s="272"/>
      <c r="X5" s="272"/>
      <c r="Y5" s="272"/>
      <c r="Z5" s="272"/>
      <c r="AA5" s="273"/>
      <c r="AB5" s="274" t="s">
        <v>116</v>
      </c>
      <c r="AC5" s="272"/>
      <c r="AD5" s="272"/>
      <c r="AE5" s="272"/>
      <c r="AF5" s="272"/>
      <c r="AG5" s="273"/>
      <c r="AH5" s="274" t="s">
        <v>93</v>
      </c>
      <c r="AI5" s="272"/>
      <c r="AJ5" s="272"/>
      <c r="AK5" s="272"/>
      <c r="AL5" s="272"/>
      <c r="AM5" s="273"/>
      <c r="AN5" s="3"/>
    </row>
    <row r="6" spans="1:41" ht="32.25" customHeight="1">
      <c r="A6" s="99"/>
      <c r="B6" s="99"/>
      <c r="C6" s="265"/>
      <c r="D6" s="269" t="s">
        <v>169</v>
      </c>
      <c r="E6" s="260" t="s">
        <v>175</v>
      </c>
      <c r="F6" s="259" t="s">
        <v>176</v>
      </c>
      <c r="G6" s="259" t="s">
        <v>178</v>
      </c>
      <c r="H6" s="259"/>
      <c r="I6" s="259"/>
      <c r="J6" s="260" t="s">
        <v>169</v>
      </c>
      <c r="K6" s="260" t="s">
        <v>175</v>
      </c>
      <c r="L6" s="259" t="s">
        <v>176</v>
      </c>
      <c r="M6" s="259" t="s">
        <v>178</v>
      </c>
      <c r="N6" s="259"/>
      <c r="O6" s="259"/>
      <c r="P6" s="260" t="s">
        <v>169</v>
      </c>
      <c r="Q6" s="260" t="s">
        <v>175</v>
      </c>
      <c r="R6" s="259" t="s">
        <v>176</v>
      </c>
      <c r="S6" s="259" t="s">
        <v>178</v>
      </c>
      <c r="T6" s="259"/>
      <c r="U6" s="259"/>
      <c r="V6" s="260" t="s">
        <v>169</v>
      </c>
      <c r="W6" s="260" t="s">
        <v>175</v>
      </c>
      <c r="X6" s="259" t="s">
        <v>176</v>
      </c>
      <c r="Y6" s="259" t="s">
        <v>178</v>
      </c>
      <c r="Z6" s="259"/>
      <c r="AA6" s="259"/>
      <c r="AB6" s="260" t="s">
        <v>169</v>
      </c>
      <c r="AC6" s="260" t="s">
        <v>175</v>
      </c>
      <c r="AD6" s="259" t="s">
        <v>176</v>
      </c>
      <c r="AE6" s="259" t="s">
        <v>178</v>
      </c>
      <c r="AF6" s="259"/>
      <c r="AG6" s="259"/>
      <c r="AH6" s="260" t="s">
        <v>169</v>
      </c>
      <c r="AI6" s="260" t="s">
        <v>175</v>
      </c>
      <c r="AJ6" s="259" t="s">
        <v>176</v>
      </c>
      <c r="AK6" s="259" t="s">
        <v>178</v>
      </c>
      <c r="AL6" s="259"/>
      <c r="AM6" s="259"/>
      <c r="AN6" s="3"/>
      <c r="AO6" s="3"/>
    </row>
    <row r="7" spans="1:41" ht="15.75">
      <c r="A7" s="97"/>
      <c r="B7" s="97"/>
      <c r="C7" s="265"/>
      <c r="D7" s="270"/>
      <c r="E7" s="261"/>
      <c r="F7" s="259"/>
      <c r="G7" s="144" t="s">
        <v>165</v>
      </c>
      <c r="H7" s="144" t="s">
        <v>168</v>
      </c>
      <c r="I7" s="144" t="s">
        <v>177</v>
      </c>
      <c r="J7" s="261"/>
      <c r="K7" s="261"/>
      <c r="L7" s="259"/>
      <c r="M7" s="144" t="s">
        <v>165</v>
      </c>
      <c r="N7" s="144" t="s">
        <v>168</v>
      </c>
      <c r="O7" s="144" t="s">
        <v>177</v>
      </c>
      <c r="P7" s="261"/>
      <c r="Q7" s="261"/>
      <c r="R7" s="259"/>
      <c r="S7" s="144" t="s">
        <v>165</v>
      </c>
      <c r="T7" s="144" t="s">
        <v>168</v>
      </c>
      <c r="U7" s="144" t="s">
        <v>177</v>
      </c>
      <c r="V7" s="261"/>
      <c r="W7" s="261"/>
      <c r="X7" s="259"/>
      <c r="Y7" s="144" t="s">
        <v>165</v>
      </c>
      <c r="Z7" s="144" t="s">
        <v>168</v>
      </c>
      <c r="AA7" s="144" t="s">
        <v>177</v>
      </c>
      <c r="AB7" s="261"/>
      <c r="AC7" s="261"/>
      <c r="AD7" s="259"/>
      <c r="AE7" s="144" t="s">
        <v>165</v>
      </c>
      <c r="AF7" s="144" t="s">
        <v>168</v>
      </c>
      <c r="AG7" s="144" t="s">
        <v>177</v>
      </c>
      <c r="AH7" s="261"/>
      <c r="AI7" s="261"/>
      <c r="AJ7" s="259"/>
      <c r="AK7" s="144" t="s">
        <v>165</v>
      </c>
      <c r="AL7" s="144" t="s">
        <v>168</v>
      </c>
      <c r="AM7" s="144" t="s">
        <v>177</v>
      </c>
      <c r="AN7" s="3"/>
      <c r="AO7" s="3"/>
    </row>
    <row r="8" spans="1:41" ht="37.5" customHeight="1">
      <c r="A8" s="104" t="s">
        <v>105</v>
      </c>
      <c r="B8" s="123"/>
      <c r="C8" s="145"/>
      <c r="D8" s="146"/>
      <c r="E8" s="146"/>
      <c r="F8" s="146"/>
      <c r="G8" s="147"/>
      <c r="H8" s="147"/>
      <c r="I8" s="147"/>
      <c r="J8" s="148"/>
      <c r="K8" s="148"/>
      <c r="L8" s="148"/>
      <c r="M8" s="149"/>
      <c r="N8" s="149"/>
      <c r="O8" s="149"/>
      <c r="P8" s="148"/>
      <c r="Q8" s="148"/>
      <c r="R8" s="148"/>
      <c r="S8" s="149"/>
      <c r="T8" s="149"/>
      <c r="U8" s="149"/>
      <c r="V8" s="148"/>
      <c r="W8" s="148"/>
      <c r="X8" s="148"/>
      <c r="Y8" s="149"/>
      <c r="Z8" s="149"/>
      <c r="AA8" s="149"/>
      <c r="AB8" s="150"/>
      <c r="AC8" s="150"/>
      <c r="AD8" s="150"/>
      <c r="AE8" s="151"/>
      <c r="AF8" s="151"/>
      <c r="AG8" s="151"/>
      <c r="AH8" s="206"/>
      <c r="AI8" s="206"/>
      <c r="AJ8" s="206"/>
      <c r="AK8" s="206"/>
      <c r="AL8" s="206"/>
      <c r="AM8" s="206"/>
      <c r="AN8" s="3"/>
      <c r="AO8" s="3"/>
    </row>
    <row r="9" spans="1:41" ht="39" customHeight="1">
      <c r="A9" s="107" t="s">
        <v>96</v>
      </c>
      <c r="B9" s="124"/>
      <c r="C9" s="152"/>
      <c r="D9" s="153">
        <v>0</v>
      </c>
      <c r="E9" s="153">
        <f t="shared" ref="E9:I9" si="0">E11</f>
        <v>0</v>
      </c>
      <c r="F9" s="153">
        <f t="shared" si="0"/>
        <v>0</v>
      </c>
      <c r="G9" s="153">
        <f t="shared" si="0"/>
        <v>0</v>
      </c>
      <c r="H9" s="153">
        <f t="shared" si="0"/>
        <v>0</v>
      </c>
      <c r="I9" s="153">
        <f t="shared" si="0"/>
        <v>0</v>
      </c>
      <c r="J9" s="154">
        <f t="shared" ref="J9" si="1">SUM(J11)</f>
        <v>0</v>
      </c>
      <c r="K9" s="154">
        <f t="shared" ref="K9:AM9" si="2">SUM(K11)</f>
        <v>0</v>
      </c>
      <c r="L9" s="154">
        <f t="shared" si="2"/>
        <v>0</v>
      </c>
      <c r="M9" s="154">
        <f t="shared" si="2"/>
        <v>0</v>
      </c>
      <c r="N9" s="154">
        <f t="shared" si="2"/>
        <v>0</v>
      </c>
      <c r="O9" s="154">
        <f t="shared" si="2"/>
        <v>0</v>
      </c>
      <c r="P9" s="154">
        <f t="shared" si="2"/>
        <v>0</v>
      </c>
      <c r="Q9" s="154">
        <f t="shared" si="2"/>
        <v>0</v>
      </c>
      <c r="R9" s="154">
        <f t="shared" si="2"/>
        <v>0</v>
      </c>
      <c r="S9" s="154">
        <f t="shared" si="2"/>
        <v>0</v>
      </c>
      <c r="T9" s="154">
        <f t="shared" si="2"/>
        <v>0</v>
      </c>
      <c r="U9" s="154">
        <f t="shared" si="2"/>
        <v>0</v>
      </c>
      <c r="V9" s="154">
        <f t="shared" si="2"/>
        <v>17</v>
      </c>
      <c r="W9" s="154">
        <f t="shared" si="2"/>
        <v>9</v>
      </c>
      <c r="X9" s="154">
        <v>8</v>
      </c>
      <c r="Y9" s="154">
        <v>8</v>
      </c>
      <c r="Z9" s="154">
        <v>8</v>
      </c>
      <c r="AA9" s="154">
        <v>8</v>
      </c>
      <c r="AB9" s="159">
        <f t="shared" si="2"/>
        <v>9970.6</v>
      </c>
      <c r="AC9" s="159">
        <f t="shared" si="2"/>
        <v>9814.8148148148157</v>
      </c>
      <c r="AD9" s="159">
        <f t="shared" si="2"/>
        <v>12500</v>
      </c>
      <c r="AE9" s="159">
        <f>AD9*1.049</f>
        <v>13112.5</v>
      </c>
      <c r="AF9" s="159">
        <f>AE9*1.045</f>
        <v>13702.562499999998</v>
      </c>
      <c r="AG9" s="159">
        <f>AF9*1.04</f>
        <v>14250.664999999999</v>
      </c>
      <c r="AH9" s="159">
        <f t="shared" si="2"/>
        <v>2</v>
      </c>
      <c r="AI9" s="159">
        <f t="shared" si="2"/>
        <v>1.06</v>
      </c>
      <c r="AJ9" s="159">
        <f t="shared" si="2"/>
        <v>1.5</v>
      </c>
      <c r="AK9" s="159">
        <f t="shared" si="2"/>
        <v>1.5734999999999999</v>
      </c>
      <c r="AL9" s="159">
        <f t="shared" si="2"/>
        <v>1.6443074999999996</v>
      </c>
      <c r="AM9" s="159">
        <f t="shared" si="2"/>
        <v>1.7100797999999997</v>
      </c>
      <c r="AN9" s="3"/>
      <c r="AO9" s="3"/>
    </row>
    <row r="10" spans="1:41" ht="15.75" customHeight="1">
      <c r="A10" s="31" t="s">
        <v>95</v>
      </c>
      <c r="B10" s="105"/>
      <c r="C10" s="152"/>
      <c r="D10" s="30"/>
      <c r="E10" s="30"/>
      <c r="F10" s="30"/>
      <c r="G10" s="30"/>
      <c r="H10" s="30"/>
      <c r="I10" s="30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6"/>
      <c r="AC10" s="156"/>
      <c r="AD10" s="156"/>
      <c r="AE10" s="207"/>
      <c r="AF10" s="207"/>
      <c r="AG10" s="207"/>
      <c r="AH10" s="156"/>
      <c r="AI10" s="156"/>
      <c r="AJ10" s="156"/>
      <c r="AK10" s="156"/>
      <c r="AL10" s="156"/>
      <c r="AM10" s="156"/>
      <c r="AN10" s="3"/>
      <c r="AO10" s="3"/>
    </row>
    <row r="11" spans="1:41" ht="15.75">
      <c r="A11" s="157" t="s">
        <v>183</v>
      </c>
      <c r="B11" s="105"/>
      <c r="C11" s="158" t="s">
        <v>184</v>
      </c>
      <c r="D11" s="30"/>
      <c r="E11" s="30"/>
      <c r="F11" s="30"/>
      <c r="G11" s="30"/>
      <c r="H11" s="30"/>
      <c r="I11" s="30"/>
      <c r="J11" s="30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>
        <v>17</v>
      </c>
      <c r="W11" s="155">
        <v>9</v>
      </c>
      <c r="X11" s="155">
        <v>10</v>
      </c>
      <c r="Y11" s="155">
        <v>10</v>
      </c>
      <c r="Z11" s="155">
        <v>10</v>
      </c>
      <c r="AA11" s="155">
        <v>10</v>
      </c>
      <c r="AB11" s="156">
        <v>9970.6</v>
      </c>
      <c r="AC11" s="156">
        <f>(AI11*1000000/W11)/12</f>
        <v>9814.8148148148157</v>
      </c>
      <c r="AD11" s="156">
        <f t="shared" ref="AD11:AD12" si="3">(AJ11*1000000/X11)/12</f>
        <v>12500</v>
      </c>
      <c r="AE11" s="207">
        <f t="shared" ref="AE11:AE72" si="4">AD11*1.049</f>
        <v>13112.5</v>
      </c>
      <c r="AF11" s="207">
        <f t="shared" ref="AF11:AF72" si="5">AE11*1.045</f>
        <v>13702.562499999998</v>
      </c>
      <c r="AG11" s="207">
        <f t="shared" ref="AG11:AG72" si="6">AF11*1.04</f>
        <v>14250.664999999999</v>
      </c>
      <c r="AH11" s="156">
        <v>2</v>
      </c>
      <c r="AI11" s="156">
        <v>1.06</v>
      </c>
      <c r="AJ11" s="156">
        <v>1.5</v>
      </c>
      <c r="AK11" s="156">
        <f>AE11*Y11*12/1000000</f>
        <v>1.5734999999999999</v>
      </c>
      <c r="AL11" s="156">
        <f t="shared" ref="AL11:AM11" si="7">AF11*Z11*12/1000000</f>
        <v>1.6443074999999996</v>
      </c>
      <c r="AM11" s="156">
        <f t="shared" si="7"/>
        <v>1.7100797999999997</v>
      </c>
      <c r="AN11" s="3"/>
      <c r="AO11" s="3"/>
    </row>
    <row r="12" spans="1:41" ht="31.5" customHeight="1">
      <c r="A12" s="109" t="s">
        <v>42</v>
      </c>
      <c r="B12" s="124"/>
      <c r="C12" s="152" t="s">
        <v>185</v>
      </c>
      <c r="D12" s="154">
        <f>D14+D18+D37+D41+D44</f>
        <v>762.38</v>
      </c>
      <c r="E12" s="154">
        <f t="shared" ref="E12:T12" si="8">E14+E18+E37+E41+E44</f>
        <v>650.1543999999999</v>
      </c>
      <c r="F12" s="154">
        <f t="shared" si="8"/>
        <v>634.58827289999999</v>
      </c>
      <c r="G12" s="154">
        <f t="shared" si="8"/>
        <v>657.97686657769998</v>
      </c>
      <c r="H12" s="154">
        <f t="shared" si="8"/>
        <v>683.91282253534291</v>
      </c>
      <c r="I12" s="154">
        <f t="shared" si="8"/>
        <v>695.48643002203403</v>
      </c>
      <c r="J12" s="154">
        <f t="shared" si="8"/>
        <v>762.38</v>
      </c>
      <c r="K12" s="154">
        <f t="shared" si="8"/>
        <v>650.1543999999999</v>
      </c>
      <c r="L12" s="154">
        <f t="shared" si="8"/>
        <v>634.58827289999999</v>
      </c>
      <c r="M12" s="154">
        <f t="shared" si="8"/>
        <v>657.97686657769998</v>
      </c>
      <c r="N12" s="154">
        <f t="shared" si="8"/>
        <v>683.91282253534291</v>
      </c>
      <c r="O12" s="154">
        <f t="shared" si="8"/>
        <v>695.48643002203403</v>
      </c>
      <c r="P12" s="154">
        <f t="shared" si="8"/>
        <v>9.3100000000000023</v>
      </c>
      <c r="Q12" s="154">
        <f>Q18+Q37+Q41+Q44</f>
        <v>58.273399999999995</v>
      </c>
      <c r="R12" s="154">
        <f t="shared" si="8"/>
        <v>60.424708299999999</v>
      </c>
      <c r="S12" s="154">
        <f t="shared" si="8"/>
        <v>62.291674257299981</v>
      </c>
      <c r="T12" s="154">
        <f t="shared" si="8"/>
        <v>64.651157879077388</v>
      </c>
      <c r="U12" s="154">
        <f>U14+U18+U37+U44</f>
        <v>66.326887983933403</v>
      </c>
      <c r="V12" s="154">
        <f>V14+V18+V37+V41+V44+V48</f>
        <v>1192</v>
      </c>
      <c r="W12" s="154">
        <f t="shared" ref="W12:AA12" si="9">W14+W18+W37+W41+W44+W48</f>
        <v>1143</v>
      </c>
      <c r="X12" s="154">
        <f t="shared" si="9"/>
        <v>955</v>
      </c>
      <c r="Y12" s="154">
        <f t="shared" si="9"/>
        <v>971</v>
      </c>
      <c r="Z12" s="154">
        <f t="shared" si="9"/>
        <v>1000</v>
      </c>
      <c r="AA12" s="154">
        <f t="shared" si="9"/>
        <v>1002</v>
      </c>
      <c r="AB12" s="159">
        <f>(AH12*1000000/V12)/12</f>
        <v>28510.206935123042</v>
      </c>
      <c r="AC12" s="159">
        <f>(AI12*1000000/W12)/12</f>
        <v>34100.853018372705</v>
      </c>
      <c r="AD12" s="159">
        <f t="shared" si="3"/>
        <v>28839.366012216404</v>
      </c>
      <c r="AE12" s="159">
        <f t="shared" si="4"/>
        <v>30252.494946815004</v>
      </c>
      <c r="AF12" s="159">
        <f t="shared" si="5"/>
        <v>31613.857219421676</v>
      </c>
      <c r="AG12" s="159">
        <f t="shared" si="6"/>
        <v>32878.411508198544</v>
      </c>
      <c r="AH12" s="159">
        <f>AH14+AH18+AH37+AH41+AH44+AH48</f>
        <v>407.81</v>
      </c>
      <c r="AI12" s="159">
        <f t="shared" ref="AI12:AM12" si="10">AI14+AI18+AI37+AI41+AI44+AI48</f>
        <v>467.72730000000001</v>
      </c>
      <c r="AJ12" s="159">
        <f t="shared" si="10"/>
        <v>330.49913450000003</v>
      </c>
      <c r="AK12" s="159">
        <f t="shared" si="10"/>
        <v>347.24927246159996</v>
      </c>
      <c r="AL12" s="159">
        <f t="shared" si="10"/>
        <v>363.61487999487196</v>
      </c>
      <c r="AM12" s="159">
        <f t="shared" si="10"/>
        <v>378.82240472993487</v>
      </c>
      <c r="AN12" s="3"/>
      <c r="AO12" s="3"/>
    </row>
    <row r="13" spans="1:41" ht="15.75" customHeight="1">
      <c r="A13" s="105" t="s">
        <v>43</v>
      </c>
      <c r="B13" s="105"/>
      <c r="C13" s="152"/>
      <c r="D13" s="30"/>
      <c r="E13" s="30"/>
      <c r="F13" s="30"/>
      <c r="G13" s="30"/>
      <c r="H13" s="30"/>
      <c r="I13" s="30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6"/>
      <c r="AC13" s="156"/>
      <c r="AD13" s="156"/>
      <c r="AE13" s="207"/>
      <c r="AF13" s="207"/>
      <c r="AG13" s="207"/>
      <c r="AH13" s="156"/>
      <c r="AI13" s="156"/>
      <c r="AJ13" s="156"/>
      <c r="AK13" s="156"/>
      <c r="AL13" s="156"/>
      <c r="AM13" s="156"/>
      <c r="AN13" s="3"/>
      <c r="AO13" s="3"/>
    </row>
    <row r="14" spans="1:41" ht="51.75" customHeight="1">
      <c r="A14" s="160" t="s">
        <v>84</v>
      </c>
      <c r="B14" s="161"/>
      <c r="C14" s="152"/>
      <c r="D14" s="162">
        <f t="shared" ref="D14:I14" si="11">SUM(D16:D17)</f>
        <v>154.19999999999999</v>
      </c>
      <c r="E14" s="162">
        <f t="shared" si="11"/>
        <v>132.76300000000001</v>
      </c>
      <c r="F14" s="162">
        <f t="shared" si="11"/>
        <v>97.7</v>
      </c>
      <c r="G14" s="162">
        <f t="shared" si="11"/>
        <v>103.17</v>
      </c>
      <c r="H14" s="162">
        <f t="shared" si="11"/>
        <v>108.22</v>
      </c>
      <c r="I14" s="162">
        <f t="shared" si="11"/>
        <v>112.98</v>
      </c>
      <c r="J14" s="162">
        <f t="shared" ref="J14:U14" si="12">SUM(J16:J17)</f>
        <v>154.19999999999999</v>
      </c>
      <c r="K14" s="162">
        <f t="shared" si="12"/>
        <v>132.76300000000001</v>
      </c>
      <c r="L14" s="162">
        <f t="shared" si="12"/>
        <v>97.7</v>
      </c>
      <c r="M14" s="162">
        <f t="shared" si="12"/>
        <v>103.17</v>
      </c>
      <c r="N14" s="162">
        <f t="shared" si="12"/>
        <v>108.22</v>
      </c>
      <c r="O14" s="162">
        <f t="shared" si="12"/>
        <v>112.98</v>
      </c>
      <c r="P14" s="162">
        <v>0</v>
      </c>
      <c r="Q14" s="162">
        <v>0</v>
      </c>
      <c r="R14" s="162">
        <f t="shared" si="12"/>
        <v>0.2</v>
      </c>
      <c r="S14" s="162">
        <f t="shared" si="12"/>
        <v>0.2</v>
      </c>
      <c r="T14" s="162">
        <f t="shared" si="12"/>
        <v>0.2</v>
      </c>
      <c r="U14" s="162">
        <f t="shared" si="12"/>
        <v>0.2</v>
      </c>
      <c r="V14" s="162">
        <f t="shared" ref="V14:AA14" si="13">V16+V17</f>
        <v>199</v>
      </c>
      <c r="W14" s="162">
        <f t="shared" si="13"/>
        <v>188</v>
      </c>
      <c r="X14" s="162">
        <f t="shared" si="13"/>
        <v>175</v>
      </c>
      <c r="Y14" s="162">
        <f t="shared" si="13"/>
        <v>175</v>
      </c>
      <c r="Z14" s="162">
        <f t="shared" si="13"/>
        <v>175</v>
      </c>
      <c r="AA14" s="162">
        <f t="shared" si="13"/>
        <v>175</v>
      </c>
      <c r="AB14" s="159">
        <f>(AH14*1000000/V14)/12</f>
        <v>16959.798994974873</v>
      </c>
      <c r="AC14" s="159">
        <f>(AI14*1000000/W14)/12</f>
        <v>15813.076241134751</v>
      </c>
      <c r="AD14" s="159">
        <f t="shared" ref="AD14" si="14">(AJ14*1000000/X14)/12</f>
        <v>18190.476190476191</v>
      </c>
      <c r="AE14" s="172">
        <f t="shared" si="4"/>
        <v>19081.809523809523</v>
      </c>
      <c r="AF14" s="172">
        <f t="shared" si="5"/>
        <v>19940.490952380951</v>
      </c>
      <c r="AG14" s="172">
        <f t="shared" si="6"/>
        <v>20738.11059047619</v>
      </c>
      <c r="AH14" s="172">
        <f t="shared" ref="AH14:AM14" si="15">AH16+AH17</f>
        <v>40.5</v>
      </c>
      <c r="AI14" s="172">
        <f t="shared" si="15"/>
        <v>35.674300000000002</v>
      </c>
      <c r="AJ14" s="172">
        <f t="shared" si="15"/>
        <v>38.200000000000003</v>
      </c>
      <c r="AK14" s="172">
        <f t="shared" si="15"/>
        <v>40.071800000000003</v>
      </c>
      <c r="AL14" s="172">
        <f t="shared" si="15"/>
        <v>41.875031</v>
      </c>
      <c r="AM14" s="172">
        <f t="shared" si="15"/>
        <v>43.550032239999993</v>
      </c>
      <c r="AN14" s="3"/>
      <c r="AO14" s="3"/>
    </row>
    <row r="15" spans="1:41" ht="15.75" customHeight="1">
      <c r="A15" s="163" t="s">
        <v>95</v>
      </c>
      <c r="B15" s="164"/>
      <c r="C15" s="152"/>
      <c r="D15" s="30"/>
      <c r="E15" s="30"/>
      <c r="F15" s="30"/>
      <c r="G15" s="30"/>
      <c r="H15" s="30"/>
      <c r="I15" s="30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6"/>
      <c r="AC15" s="156"/>
      <c r="AD15" s="156"/>
      <c r="AE15" s="207"/>
      <c r="AF15" s="207"/>
      <c r="AG15" s="207"/>
      <c r="AH15" s="156"/>
      <c r="AI15" s="156"/>
      <c r="AJ15" s="156"/>
      <c r="AK15" s="156"/>
      <c r="AL15" s="156"/>
      <c r="AM15" s="156"/>
      <c r="AN15" s="3"/>
      <c r="AO15" s="3"/>
    </row>
    <row r="16" spans="1:41" s="35" customFormat="1" ht="32.25" customHeight="1">
      <c r="A16" s="165" t="s">
        <v>186</v>
      </c>
      <c r="B16" s="166" t="s">
        <v>187</v>
      </c>
      <c r="C16" s="152"/>
      <c r="D16" s="30"/>
      <c r="E16" s="30"/>
      <c r="F16" s="30"/>
      <c r="G16" s="30"/>
      <c r="H16" s="30"/>
      <c r="I16" s="30"/>
      <c r="J16" s="155"/>
      <c r="K16" s="155">
        <v>0</v>
      </c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6"/>
      <c r="AC16" s="156"/>
      <c r="AD16" s="156"/>
      <c r="AE16" s="207"/>
      <c r="AF16" s="207"/>
      <c r="AG16" s="207"/>
      <c r="AH16" s="156"/>
      <c r="AI16" s="156"/>
      <c r="AJ16" s="156"/>
      <c r="AK16" s="156"/>
      <c r="AL16" s="156"/>
      <c r="AM16" s="156"/>
      <c r="AN16" s="4"/>
      <c r="AO16" s="4"/>
    </row>
    <row r="17" spans="1:41" s="35" customFormat="1" ht="15.75">
      <c r="A17" s="167" t="s">
        <v>188</v>
      </c>
      <c r="B17" s="105"/>
      <c r="C17" s="152"/>
      <c r="D17" s="155">
        <f>J17</f>
        <v>154.19999999999999</v>
      </c>
      <c r="E17" s="155">
        <f>K17</f>
        <v>132.76300000000001</v>
      </c>
      <c r="F17" s="155">
        <f t="shared" ref="F17:I17" si="16">L17</f>
        <v>97.7</v>
      </c>
      <c r="G17" s="155">
        <f t="shared" si="16"/>
        <v>103.17</v>
      </c>
      <c r="H17" s="155">
        <f t="shared" si="16"/>
        <v>108.22</v>
      </c>
      <c r="I17" s="155">
        <f t="shared" si="16"/>
        <v>112.98</v>
      </c>
      <c r="J17" s="155">
        <v>154.19999999999999</v>
      </c>
      <c r="K17" s="155">
        <v>132.76300000000001</v>
      </c>
      <c r="L17" s="155">
        <v>97.7</v>
      </c>
      <c r="M17" s="155">
        <v>103.17</v>
      </c>
      <c r="N17" s="155">
        <v>108.22</v>
      </c>
      <c r="O17" s="155">
        <v>112.98</v>
      </c>
      <c r="P17" s="155">
        <v>-2.84</v>
      </c>
      <c r="Q17" s="155">
        <v>-8.6750000000000007</v>
      </c>
      <c r="R17" s="155">
        <v>0.2</v>
      </c>
      <c r="S17" s="155">
        <v>0.2</v>
      </c>
      <c r="T17" s="155">
        <v>0.2</v>
      </c>
      <c r="U17" s="155">
        <v>0.2</v>
      </c>
      <c r="V17" s="155">
        <v>199</v>
      </c>
      <c r="W17" s="168">
        <v>188</v>
      </c>
      <c r="X17" s="168">
        <v>175</v>
      </c>
      <c r="Y17" s="168">
        <v>175</v>
      </c>
      <c r="Z17" s="168">
        <v>175</v>
      </c>
      <c r="AA17" s="168">
        <v>175</v>
      </c>
      <c r="AB17" s="156">
        <f>(AH17*1000000/V17)/12</f>
        <v>16959.798994974873</v>
      </c>
      <c r="AC17" s="156">
        <f>(AI17*1000000/W17)/12</f>
        <v>15813.076241134751</v>
      </c>
      <c r="AD17" s="156">
        <f t="shared" ref="AD17:AD18" si="17">(AJ17*1000000/X17)/12</f>
        <v>18190.476190476191</v>
      </c>
      <c r="AE17" s="207">
        <f t="shared" si="4"/>
        <v>19081.809523809523</v>
      </c>
      <c r="AF17" s="207">
        <f t="shared" si="5"/>
        <v>19940.490952380951</v>
      </c>
      <c r="AG17" s="207">
        <f t="shared" si="6"/>
        <v>20738.11059047619</v>
      </c>
      <c r="AH17" s="156">
        <v>40.5</v>
      </c>
      <c r="AI17" s="156">
        <v>35.674300000000002</v>
      </c>
      <c r="AJ17" s="156">
        <v>38.200000000000003</v>
      </c>
      <c r="AK17" s="156">
        <f>AE17*Y17*12/1000000</f>
        <v>40.071800000000003</v>
      </c>
      <c r="AL17" s="156">
        <f t="shared" ref="AL17" si="18">AF17*Z17*12/1000000</f>
        <v>41.875031</v>
      </c>
      <c r="AM17" s="156">
        <f t="shared" ref="AM17" si="19">AG17*AA17*12/1000000</f>
        <v>43.550032239999993</v>
      </c>
      <c r="AN17" s="4"/>
      <c r="AO17" s="4"/>
    </row>
    <row r="18" spans="1:41" s="35" customFormat="1" ht="47.25" customHeight="1">
      <c r="A18" s="169" t="s">
        <v>85</v>
      </c>
      <c r="B18" s="161"/>
      <c r="C18" s="152"/>
      <c r="D18" s="162">
        <f t="shared" ref="D18:I18" si="20">SUM(D20:D36)</f>
        <v>584.5</v>
      </c>
      <c r="E18" s="162">
        <f t="shared" si="20"/>
        <v>490.95229999999998</v>
      </c>
      <c r="F18" s="162">
        <f t="shared" si="20"/>
        <v>509.11753509999994</v>
      </c>
      <c r="G18" s="162">
        <f t="shared" si="20"/>
        <v>524.90017868809991</v>
      </c>
      <c r="H18" s="162">
        <f t="shared" si="20"/>
        <v>544.84638547824761</v>
      </c>
      <c r="I18" s="162">
        <f t="shared" si="20"/>
        <v>559.01239150068216</v>
      </c>
      <c r="J18" s="162">
        <f t="shared" ref="J18:U18" si="21">SUM(J20:J36)</f>
        <v>584.5</v>
      </c>
      <c r="K18" s="162">
        <f t="shared" si="21"/>
        <v>490.95229999999998</v>
      </c>
      <c r="L18" s="162">
        <f t="shared" si="21"/>
        <v>509.11753509999994</v>
      </c>
      <c r="M18" s="162">
        <f t="shared" si="21"/>
        <v>524.90017868809991</v>
      </c>
      <c r="N18" s="162">
        <f t="shared" si="21"/>
        <v>544.84638547824761</v>
      </c>
      <c r="O18" s="162">
        <f t="shared" si="21"/>
        <v>559.01239150068216</v>
      </c>
      <c r="P18" s="162">
        <f t="shared" si="21"/>
        <v>9.1300000000000008</v>
      </c>
      <c r="Q18" s="162">
        <f t="shared" si="21"/>
        <v>58.075899999999997</v>
      </c>
      <c r="R18" s="162">
        <f t="shared" si="21"/>
        <v>60.224708299999996</v>
      </c>
      <c r="S18" s="162">
        <f t="shared" si="21"/>
        <v>62.091674257299978</v>
      </c>
      <c r="T18" s="162">
        <f t="shared" si="21"/>
        <v>64.451157879077385</v>
      </c>
      <c r="U18" s="162">
        <f t="shared" si="21"/>
        <v>66.126887983933401</v>
      </c>
      <c r="V18" s="162">
        <f>SUM(V20:V36)</f>
        <v>123</v>
      </c>
      <c r="W18" s="162">
        <f t="shared" ref="W18:AM18" si="22">SUM(W20:W36)</f>
        <v>222</v>
      </c>
      <c r="X18" s="162">
        <f t="shared" si="22"/>
        <v>36</v>
      </c>
      <c r="Y18" s="162">
        <f t="shared" si="22"/>
        <v>39</v>
      </c>
      <c r="Z18" s="162">
        <f t="shared" si="22"/>
        <v>43</v>
      </c>
      <c r="AA18" s="162">
        <f t="shared" si="22"/>
        <v>47</v>
      </c>
      <c r="AB18" s="159">
        <f>(AH18*1000000/V18)/12</f>
        <v>12527.10027100271</v>
      </c>
      <c r="AC18" s="159">
        <f>(AI18*1000000/W18)/12</f>
        <v>7058.5960960960947</v>
      </c>
      <c r="AD18" s="159">
        <f t="shared" si="17"/>
        <v>8749.9861111111113</v>
      </c>
      <c r="AE18" s="172">
        <f t="shared" si="4"/>
        <v>9178.7354305555546</v>
      </c>
      <c r="AF18" s="172">
        <f t="shared" si="5"/>
        <v>9591.7785249305543</v>
      </c>
      <c r="AG18" s="172">
        <f t="shared" si="6"/>
        <v>9975.4496659277775</v>
      </c>
      <c r="AH18" s="172">
        <f>SUM(AH20:AH36)</f>
        <v>18.489999999999998</v>
      </c>
      <c r="AI18" s="172">
        <f t="shared" si="22"/>
        <v>18.804099999999995</v>
      </c>
      <c r="AJ18" s="172">
        <f t="shared" si="22"/>
        <v>3.7799939999999999</v>
      </c>
      <c r="AK18" s="172">
        <f t="shared" si="22"/>
        <v>4.2702052109999995</v>
      </c>
      <c r="AL18" s="172">
        <f t="shared" si="22"/>
        <v>5.0997966909449985</v>
      </c>
      <c r="AM18" s="172">
        <f t="shared" si="22"/>
        <v>5.9667180938508002</v>
      </c>
      <c r="AN18" s="4"/>
      <c r="AO18" s="4"/>
    </row>
    <row r="19" spans="1:41" s="35" customFormat="1" ht="15.75" customHeight="1">
      <c r="A19" s="170" t="s">
        <v>95</v>
      </c>
      <c r="B19" s="164"/>
      <c r="C19" s="152"/>
      <c r="D19" s="30"/>
      <c r="E19" s="30"/>
      <c r="F19" s="30"/>
      <c r="G19" s="30"/>
      <c r="H19" s="30"/>
      <c r="I19" s="30"/>
      <c r="J19" s="155"/>
      <c r="K19" s="162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6"/>
      <c r="AC19" s="156"/>
      <c r="AD19" s="156"/>
      <c r="AE19" s="207"/>
      <c r="AF19" s="207"/>
      <c r="AG19" s="207"/>
      <c r="AH19" s="156"/>
      <c r="AI19" s="156"/>
      <c r="AJ19" s="156"/>
      <c r="AK19" s="156"/>
      <c r="AL19" s="156"/>
      <c r="AM19" s="156"/>
      <c r="AN19" s="4"/>
      <c r="AO19" s="4"/>
    </row>
    <row r="20" spans="1:41" s="35" customFormat="1" ht="15.75" customHeight="1">
      <c r="A20" s="165" t="s">
        <v>189</v>
      </c>
      <c r="B20" s="166" t="s">
        <v>190</v>
      </c>
      <c r="C20" s="152"/>
      <c r="D20" s="30"/>
      <c r="E20" s="30"/>
      <c r="F20" s="30"/>
      <c r="G20" s="30"/>
      <c r="H20" s="30"/>
      <c r="I20" s="30"/>
      <c r="J20" s="155"/>
      <c r="K20" s="155">
        <v>0</v>
      </c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6"/>
      <c r="AC20" s="156"/>
      <c r="AD20" s="156"/>
      <c r="AE20" s="207"/>
      <c r="AF20" s="207"/>
      <c r="AG20" s="207"/>
      <c r="AH20" s="156"/>
      <c r="AI20" s="156"/>
      <c r="AJ20" s="156"/>
      <c r="AK20" s="156"/>
      <c r="AL20" s="156"/>
      <c r="AM20" s="156"/>
      <c r="AN20" s="4"/>
      <c r="AO20" s="4"/>
    </row>
    <row r="21" spans="1:41" s="35" customFormat="1" ht="31.5" customHeight="1">
      <c r="A21" s="165" t="s">
        <v>191</v>
      </c>
      <c r="B21" s="166" t="s">
        <v>192</v>
      </c>
      <c r="C21" s="152"/>
      <c r="D21" s="30"/>
      <c r="E21" s="30"/>
      <c r="F21" s="30"/>
      <c r="G21" s="30"/>
      <c r="H21" s="30"/>
      <c r="I21" s="30"/>
      <c r="J21" s="155"/>
      <c r="K21" s="155">
        <v>0</v>
      </c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6"/>
      <c r="AC21" s="156"/>
      <c r="AD21" s="156"/>
      <c r="AE21" s="207"/>
      <c r="AF21" s="207"/>
      <c r="AG21" s="207"/>
      <c r="AH21" s="156"/>
      <c r="AI21" s="156"/>
      <c r="AJ21" s="156"/>
      <c r="AK21" s="156"/>
      <c r="AL21" s="156"/>
      <c r="AM21" s="156"/>
      <c r="AN21" s="4"/>
      <c r="AO21" s="4"/>
    </row>
    <row r="22" spans="1:41" s="35" customFormat="1" ht="15.75">
      <c r="A22" s="167" t="s">
        <v>193</v>
      </c>
      <c r="B22" s="105"/>
      <c r="C22" s="152"/>
      <c r="D22" s="30">
        <v>164.5</v>
      </c>
      <c r="E22" s="155">
        <f>K22</f>
        <v>67.093999999999994</v>
      </c>
      <c r="F22" s="155">
        <f t="shared" ref="F22:I36" si="23">L22</f>
        <v>69.576477999999994</v>
      </c>
      <c r="G22" s="155">
        <f t="shared" si="23"/>
        <v>71.733348817999982</v>
      </c>
      <c r="H22" s="155">
        <f t="shared" si="23"/>
        <v>74.459216073083979</v>
      </c>
      <c r="I22" s="155">
        <f t="shared" si="23"/>
        <v>76.395155690984168</v>
      </c>
      <c r="J22" s="155">
        <v>164.5</v>
      </c>
      <c r="K22" s="155">
        <v>67.093999999999994</v>
      </c>
      <c r="L22" s="155">
        <f>K22*1.037</f>
        <v>69.576477999999994</v>
      </c>
      <c r="M22" s="155">
        <f>L22*1.031</f>
        <v>71.733348817999982</v>
      </c>
      <c r="N22" s="155">
        <f>M22*1.038</f>
        <v>74.459216073083979</v>
      </c>
      <c r="O22" s="155">
        <f>N22*1.026</f>
        <v>76.395155690984168</v>
      </c>
      <c r="P22" s="155">
        <v>6.07</v>
      </c>
      <c r="Q22" s="155">
        <v>0.4501</v>
      </c>
      <c r="R22" s="155">
        <f>Q22*1.037</f>
        <v>0.46675369999999994</v>
      </c>
      <c r="S22" s="155">
        <f>R22*1.031</f>
        <v>0.48122306469999987</v>
      </c>
      <c r="T22" s="155">
        <f>S22*1.038</f>
        <v>0.49950954115859986</v>
      </c>
      <c r="U22" s="155">
        <f>T22*1.026</f>
        <v>0.51249678922872344</v>
      </c>
      <c r="V22" s="155">
        <v>94</v>
      </c>
      <c r="W22" s="155">
        <v>157</v>
      </c>
      <c r="X22" s="155">
        <v>0</v>
      </c>
      <c r="Y22" s="155">
        <v>0</v>
      </c>
      <c r="Z22" s="155">
        <v>0</v>
      </c>
      <c r="AA22" s="155">
        <v>0</v>
      </c>
      <c r="AB22" s="156">
        <f t="shared" ref="AB22:AD25" si="24">(AH22*1000000/V22)/12</f>
        <v>14007.09219858156</v>
      </c>
      <c r="AC22" s="156">
        <f t="shared" si="24"/>
        <v>6721.6029723991514</v>
      </c>
      <c r="AD22" s="156"/>
      <c r="AE22" s="207"/>
      <c r="AF22" s="207"/>
      <c r="AG22" s="207"/>
      <c r="AH22" s="156">
        <v>15.8</v>
      </c>
      <c r="AI22" s="156">
        <v>12.663500000000001</v>
      </c>
      <c r="AJ22" s="156"/>
      <c r="AK22" s="156"/>
      <c r="AL22" s="156"/>
      <c r="AM22" s="156"/>
      <c r="AN22" s="4"/>
      <c r="AO22" s="4"/>
    </row>
    <row r="23" spans="1:41" s="35" customFormat="1" ht="15.75">
      <c r="A23" s="108" t="s">
        <v>194</v>
      </c>
      <c r="B23" s="105"/>
      <c r="C23" s="152"/>
      <c r="D23" s="30">
        <v>3.4</v>
      </c>
      <c r="E23" s="155">
        <f t="shared" ref="E23:E36" si="25">K23</f>
        <v>22.283000000000001</v>
      </c>
      <c r="F23" s="155">
        <f t="shared" si="23"/>
        <v>23.107471</v>
      </c>
      <c r="G23" s="155">
        <f t="shared" si="23"/>
        <v>23.823802600999997</v>
      </c>
      <c r="H23" s="155">
        <f t="shared" si="23"/>
        <v>24.729107099837996</v>
      </c>
      <c r="I23" s="155">
        <f t="shared" si="23"/>
        <v>25.372063884433786</v>
      </c>
      <c r="J23" s="155">
        <v>3.4</v>
      </c>
      <c r="K23" s="155">
        <v>22.283000000000001</v>
      </c>
      <c r="L23" s="155">
        <f t="shared" ref="L23:L30" si="26">K23*1.037</f>
        <v>23.107471</v>
      </c>
      <c r="M23" s="155">
        <f t="shared" ref="M23:M30" si="27">L23*1.031</f>
        <v>23.823802600999997</v>
      </c>
      <c r="N23" s="155">
        <f t="shared" ref="N23:N30" si="28">M23*1.038</f>
        <v>24.729107099837996</v>
      </c>
      <c r="O23" s="155">
        <f t="shared" ref="O23:O30" si="29">N23*1.026</f>
        <v>25.372063884433786</v>
      </c>
      <c r="P23" s="155">
        <v>0.2</v>
      </c>
      <c r="Q23" s="155">
        <v>2.5259999999999998</v>
      </c>
      <c r="R23" s="155">
        <f>Q23*1.037</f>
        <v>2.6194619999999995</v>
      </c>
      <c r="S23" s="155">
        <f>R23*1.031</f>
        <v>2.7006653219999994</v>
      </c>
      <c r="T23" s="155">
        <f>S23*1.038</f>
        <v>2.8032906042359995</v>
      </c>
      <c r="U23" s="155">
        <f>T23*1.026</f>
        <v>2.8761761599461355</v>
      </c>
      <c r="V23" s="155">
        <v>7</v>
      </c>
      <c r="W23" s="155">
        <v>21</v>
      </c>
      <c r="X23" s="155">
        <v>4</v>
      </c>
      <c r="Y23" s="155">
        <v>6</v>
      </c>
      <c r="Z23" s="155">
        <v>8</v>
      </c>
      <c r="AA23" s="155">
        <v>10</v>
      </c>
      <c r="AB23" s="156">
        <f t="shared" si="24"/>
        <v>5476.1904761904761</v>
      </c>
      <c r="AC23" s="156">
        <f t="shared" si="24"/>
        <v>7666.666666666667</v>
      </c>
      <c r="AD23" s="156">
        <f t="shared" si="24"/>
        <v>0</v>
      </c>
      <c r="AE23" s="207"/>
      <c r="AF23" s="207"/>
      <c r="AG23" s="207"/>
      <c r="AH23" s="156">
        <v>0.46</v>
      </c>
      <c r="AI23" s="156">
        <v>1.9319999999999999</v>
      </c>
      <c r="AJ23" s="156"/>
      <c r="AK23" s="156"/>
      <c r="AL23" s="156"/>
      <c r="AM23" s="156"/>
      <c r="AN23" s="4"/>
      <c r="AO23" s="4"/>
    </row>
    <row r="24" spans="1:41" s="35" customFormat="1" ht="15.75">
      <c r="A24" s="108" t="s">
        <v>195</v>
      </c>
      <c r="B24" s="105"/>
      <c r="C24" s="152"/>
      <c r="D24" s="30">
        <v>98.1</v>
      </c>
      <c r="E24" s="155">
        <f t="shared" si="25"/>
        <v>91.703999999999994</v>
      </c>
      <c r="F24" s="155">
        <f t="shared" si="23"/>
        <v>95.097047999999987</v>
      </c>
      <c r="G24" s="155">
        <f t="shared" si="23"/>
        <v>98.045056487999972</v>
      </c>
      <c r="H24" s="155">
        <f t="shared" si="23"/>
        <v>101.77076863454397</v>
      </c>
      <c r="I24" s="155">
        <f t="shared" si="23"/>
        <v>104.41680861904211</v>
      </c>
      <c r="J24" s="155">
        <v>98.1</v>
      </c>
      <c r="K24" s="155">
        <v>91.703999999999994</v>
      </c>
      <c r="L24" s="155">
        <f t="shared" si="26"/>
        <v>95.097047999999987</v>
      </c>
      <c r="M24" s="155">
        <f t="shared" si="27"/>
        <v>98.045056487999972</v>
      </c>
      <c r="N24" s="155">
        <f t="shared" si="28"/>
        <v>101.77076863454397</v>
      </c>
      <c r="O24" s="155">
        <f t="shared" si="29"/>
        <v>104.41680861904211</v>
      </c>
      <c r="P24" s="155">
        <v>0.86</v>
      </c>
      <c r="Q24" s="155">
        <v>1.0509999999999999</v>
      </c>
      <c r="R24" s="155">
        <f>Q24*1.037</f>
        <v>1.0898869999999998</v>
      </c>
      <c r="S24" s="155">
        <f>R24*1.031</f>
        <v>1.1236734969999997</v>
      </c>
      <c r="T24" s="155">
        <f>S24*1.038</f>
        <v>1.1663730898859999</v>
      </c>
      <c r="U24" s="155">
        <f>T24*1.026</f>
        <v>1.1966987902230359</v>
      </c>
      <c r="V24" s="155">
        <v>4</v>
      </c>
      <c r="W24" s="155">
        <v>4</v>
      </c>
      <c r="X24" s="155">
        <v>2</v>
      </c>
      <c r="Y24" s="155">
        <v>3</v>
      </c>
      <c r="Z24" s="155">
        <v>5</v>
      </c>
      <c r="AA24" s="155">
        <v>7</v>
      </c>
      <c r="AB24" s="156">
        <f t="shared" si="24"/>
        <v>12083.333333333334</v>
      </c>
      <c r="AC24" s="156">
        <f t="shared" si="24"/>
        <v>11375</v>
      </c>
      <c r="AD24" s="156">
        <f t="shared" si="24"/>
        <v>24228.750000000004</v>
      </c>
      <c r="AE24" s="207">
        <f t="shared" si="4"/>
        <v>25415.958750000002</v>
      </c>
      <c r="AF24" s="207">
        <f t="shared" si="5"/>
        <v>26559.676893749998</v>
      </c>
      <c r="AG24" s="207">
        <f t="shared" si="6"/>
        <v>27622.063969499999</v>
      </c>
      <c r="AH24" s="156">
        <v>0.57999999999999996</v>
      </c>
      <c r="AI24" s="156">
        <v>0.54600000000000004</v>
      </c>
      <c r="AJ24" s="156">
        <f t="shared" ref="AJ24:AJ36" si="30">AI24*1.065</f>
        <v>0.58149000000000006</v>
      </c>
      <c r="AK24" s="156">
        <f>AE24*Y24*12/1000000</f>
        <v>0.91497451500000004</v>
      </c>
      <c r="AL24" s="156">
        <f t="shared" ref="AL24:AL25" si="31">AF24*Z24*12/1000000</f>
        <v>1.5935806136249997</v>
      </c>
      <c r="AM24" s="156">
        <f t="shared" ref="AM24:AM25" si="32">AG24*AA24*12/1000000</f>
        <v>2.3202533734379998</v>
      </c>
      <c r="AN24" s="4"/>
      <c r="AO24" s="4"/>
    </row>
    <row r="25" spans="1:41" s="35" customFormat="1" ht="15.75">
      <c r="A25" s="108" t="s">
        <v>196</v>
      </c>
      <c r="B25" s="105" t="s">
        <v>197</v>
      </c>
      <c r="C25" s="152"/>
      <c r="D25" s="30">
        <v>0.63</v>
      </c>
      <c r="E25" s="155">
        <f t="shared" si="25"/>
        <v>0.373</v>
      </c>
      <c r="F25" s="155">
        <f t="shared" si="23"/>
        <v>0.38680099999999995</v>
      </c>
      <c r="G25" s="155">
        <f t="shared" si="23"/>
        <v>0.39879183099999993</v>
      </c>
      <c r="H25" s="155">
        <f t="shared" si="23"/>
        <v>0.41394592057799995</v>
      </c>
      <c r="I25" s="155">
        <f t="shared" si="23"/>
        <v>0.42470851451302793</v>
      </c>
      <c r="J25" s="155">
        <v>0.63</v>
      </c>
      <c r="K25" s="155">
        <v>0.373</v>
      </c>
      <c r="L25" s="155">
        <f t="shared" si="26"/>
        <v>0.38680099999999995</v>
      </c>
      <c r="M25" s="155">
        <f t="shared" si="27"/>
        <v>0.39879183099999993</v>
      </c>
      <c r="N25" s="155">
        <f t="shared" si="28"/>
        <v>0.41394592057799995</v>
      </c>
      <c r="O25" s="155">
        <f t="shared" si="29"/>
        <v>0.42470851451302793</v>
      </c>
      <c r="P25" s="155">
        <v>0</v>
      </c>
      <c r="Q25" s="155">
        <v>9.0999999999999998E-2</v>
      </c>
      <c r="R25" s="155">
        <f>Q25*1.037</f>
        <v>9.4366999999999993E-2</v>
      </c>
      <c r="S25" s="155">
        <f>R25*1.031</f>
        <v>9.7292376999999985E-2</v>
      </c>
      <c r="T25" s="155">
        <f>S25*1.038</f>
        <v>0.10098948732599999</v>
      </c>
      <c r="U25" s="155">
        <f>T25*1.026</f>
        <v>0.103615213996476</v>
      </c>
      <c r="V25" s="155">
        <v>3</v>
      </c>
      <c r="W25" s="155">
        <v>3</v>
      </c>
      <c r="X25" s="155">
        <v>2</v>
      </c>
      <c r="Y25" s="155">
        <v>2</v>
      </c>
      <c r="Z25" s="155">
        <v>2</v>
      </c>
      <c r="AA25" s="155">
        <v>2</v>
      </c>
      <c r="AB25" s="156">
        <f t="shared" si="24"/>
        <v>15000</v>
      </c>
      <c r="AC25" s="156">
        <f t="shared" si="24"/>
        <v>7833.333333333333</v>
      </c>
      <c r="AD25" s="156">
        <f t="shared" si="24"/>
        <v>12513.749999999998</v>
      </c>
      <c r="AE25" s="207">
        <f t="shared" si="4"/>
        <v>13126.923749999998</v>
      </c>
      <c r="AF25" s="207">
        <f t="shared" si="5"/>
        <v>13717.635318749997</v>
      </c>
      <c r="AG25" s="207">
        <f t="shared" si="6"/>
        <v>14266.340731499997</v>
      </c>
      <c r="AH25" s="156">
        <v>0.54</v>
      </c>
      <c r="AI25" s="156">
        <v>0.28199999999999997</v>
      </c>
      <c r="AJ25" s="156">
        <f t="shared" si="30"/>
        <v>0.30032999999999993</v>
      </c>
      <c r="AK25" s="156">
        <f>AE25*Y25*12/1000000</f>
        <v>0.3150461699999999</v>
      </c>
      <c r="AL25" s="156">
        <f t="shared" si="31"/>
        <v>0.32922324764999994</v>
      </c>
      <c r="AM25" s="156">
        <f t="shared" si="32"/>
        <v>0.34239217755599993</v>
      </c>
      <c r="AN25" s="4"/>
      <c r="AO25" s="4"/>
    </row>
    <row r="26" spans="1:41" s="35" customFormat="1" ht="31.5">
      <c r="A26" s="108" t="s">
        <v>198</v>
      </c>
      <c r="B26" s="105" t="s">
        <v>199</v>
      </c>
      <c r="C26" s="152"/>
      <c r="D26" s="30">
        <v>316.60000000000002</v>
      </c>
      <c r="E26" s="155">
        <f t="shared" si="25"/>
        <v>0</v>
      </c>
      <c r="F26" s="155">
        <f t="shared" si="23"/>
        <v>0</v>
      </c>
      <c r="G26" s="155">
        <f t="shared" si="23"/>
        <v>0</v>
      </c>
      <c r="H26" s="155">
        <f t="shared" si="23"/>
        <v>0</v>
      </c>
      <c r="I26" s="155">
        <f t="shared" si="23"/>
        <v>0</v>
      </c>
      <c r="J26" s="155">
        <v>316.60000000000002</v>
      </c>
      <c r="K26" s="155">
        <v>0</v>
      </c>
      <c r="L26" s="155"/>
      <c r="M26" s="155"/>
      <c r="N26" s="155"/>
      <c r="O26" s="155"/>
      <c r="P26" s="155">
        <v>2</v>
      </c>
      <c r="Q26" s="155"/>
      <c r="R26" s="155"/>
      <c r="S26" s="155"/>
      <c r="T26" s="155"/>
      <c r="U26" s="155"/>
      <c r="V26" s="155">
        <v>13</v>
      </c>
      <c r="W26" s="155"/>
      <c r="X26" s="155"/>
      <c r="Y26" s="155"/>
      <c r="Z26" s="155"/>
      <c r="AA26" s="155"/>
      <c r="AB26" s="156">
        <v>5842.9</v>
      </c>
      <c r="AC26" s="156"/>
      <c r="AD26" s="156"/>
      <c r="AE26" s="207"/>
      <c r="AF26" s="207"/>
      <c r="AG26" s="207"/>
      <c r="AH26" s="156">
        <v>0.91</v>
      </c>
      <c r="AI26" s="156">
        <v>0</v>
      </c>
      <c r="AJ26" s="156"/>
      <c r="AK26" s="156"/>
      <c r="AL26" s="156"/>
      <c r="AM26" s="156"/>
      <c r="AN26" s="4"/>
      <c r="AO26" s="4"/>
    </row>
    <row r="27" spans="1:41" s="35" customFormat="1" ht="15.75">
      <c r="A27" s="108" t="s">
        <v>200</v>
      </c>
      <c r="B27" s="105"/>
      <c r="C27" s="152"/>
      <c r="D27" s="30"/>
      <c r="E27" s="155">
        <f t="shared" si="25"/>
        <v>50.463999999999999</v>
      </c>
      <c r="F27" s="155">
        <f t="shared" si="23"/>
        <v>52.331167999999998</v>
      </c>
      <c r="G27" s="155">
        <f t="shared" si="23"/>
        <v>53.95343420799999</v>
      </c>
      <c r="H27" s="155">
        <f t="shared" si="23"/>
        <v>56.003664707903994</v>
      </c>
      <c r="I27" s="155">
        <f t="shared" si="23"/>
        <v>57.4597599903095</v>
      </c>
      <c r="J27" s="155"/>
      <c r="K27" s="155">
        <v>50.463999999999999</v>
      </c>
      <c r="L27" s="155">
        <f t="shared" si="26"/>
        <v>52.331167999999998</v>
      </c>
      <c r="M27" s="155">
        <f t="shared" si="27"/>
        <v>53.95343420799999</v>
      </c>
      <c r="N27" s="155">
        <f t="shared" si="28"/>
        <v>56.003664707903994</v>
      </c>
      <c r="O27" s="155">
        <f t="shared" si="29"/>
        <v>57.4597599903095</v>
      </c>
      <c r="P27" s="155"/>
      <c r="Q27" s="155">
        <v>1.9E-2</v>
      </c>
      <c r="R27" s="155">
        <f>Q27*1.037</f>
        <v>1.9702999999999998E-2</v>
      </c>
      <c r="S27" s="155">
        <f>R27*1.031</f>
        <v>2.0313792999999997E-2</v>
      </c>
      <c r="T27" s="155">
        <f>S27*1.038</f>
        <v>2.1085717133999999E-2</v>
      </c>
      <c r="U27" s="155">
        <f>T27*1.026</f>
        <v>2.1633945779484E-2</v>
      </c>
      <c r="V27" s="155"/>
      <c r="W27" s="155">
        <v>8</v>
      </c>
      <c r="X27" s="155">
        <v>8</v>
      </c>
      <c r="Y27" s="155">
        <v>8</v>
      </c>
      <c r="Z27" s="155">
        <v>8</v>
      </c>
      <c r="AA27" s="155">
        <v>8</v>
      </c>
      <c r="AB27" s="156"/>
      <c r="AC27" s="156">
        <f t="shared" ref="AC27" si="33">(AI27*1000000/W27)/12</f>
        <v>9468.75</v>
      </c>
      <c r="AD27" s="156">
        <f t="shared" ref="AD27" si="34">(AJ27*1000000/X27)/12</f>
        <v>10084.21875</v>
      </c>
      <c r="AE27" s="207">
        <f t="shared" si="4"/>
        <v>10578.34546875</v>
      </c>
      <c r="AF27" s="207">
        <f t="shared" si="5"/>
        <v>11054.371014843749</v>
      </c>
      <c r="AG27" s="207">
        <f t="shared" si="6"/>
        <v>11496.5458554375</v>
      </c>
      <c r="AH27" s="156"/>
      <c r="AI27" s="156">
        <v>0.90900000000000003</v>
      </c>
      <c r="AJ27" s="156">
        <f t="shared" si="30"/>
        <v>0.96808499999999997</v>
      </c>
      <c r="AK27" s="156">
        <f>AE27*Y27*12/1000000</f>
        <v>1.015521165</v>
      </c>
      <c r="AL27" s="156">
        <f t="shared" ref="AL27" si="35">AF27*Z27*12/1000000</f>
        <v>1.0612196174249999</v>
      </c>
      <c r="AM27" s="156">
        <f t="shared" ref="AM27" si="36">AG27*AA27*12/1000000</f>
        <v>1.103668402122</v>
      </c>
      <c r="AN27" s="4"/>
      <c r="AO27" s="4"/>
    </row>
    <row r="28" spans="1:41" s="35" customFormat="1" ht="15.75">
      <c r="A28" s="108" t="s">
        <v>201</v>
      </c>
      <c r="B28" s="105" t="s">
        <v>190</v>
      </c>
      <c r="C28" s="152"/>
      <c r="D28" s="30"/>
      <c r="E28" s="155">
        <f t="shared" si="25"/>
        <v>0</v>
      </c>
      <c r="F28" s="155">
        <f t="shared" si="23"/>
        <v>0</v>
      </c>
      <c r="G28" s="155">
        <f t="shared" si="23"/>
        <v>0</v>
      </c>
      <c r="H28" s="155">
        <f t="shared" si="23"/>
        <v>0</v>
      </c>
      <c r="I28" s="155">
        <f t="shared" si="23"/>
        <v>0</v>
      </c>
      <c r="J28" s="155"/>
      <c r="K28" s="155">
        <v>0</v>
      </c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6"/>
      <c r="AC28" s="156"/>
      <c r="AD28" s="156"/>
      <c r="AE28" s="207"/>
      <c r="AF28" s="207"/>
      <c r="AG28" s="207"/>
      <c r="AH28" s="156"/>
      <c r="AI28" s="156"/>
      <c r="AJ28" s="156"/>
      <c r="AK28" s="156"/>
      <c r="AL28" s="156"/>
      <c r="AM28" s="156"/>
      <c r="AN28" s="4"/>
      <c r="AO28" s="4"/>
    </row>
    <row r="29" spans="1:41" s="35" customFormat="1" ht="31.5">
      <c r="A29" s="108" t="s">
        <v>202</v>
      </c>
      <c r="B29" s="105" t="s">
        <v>203</v>
      </c>
      <c r="C29" s="152"/>
      <c r="D29" s="30">
        <v>0</v>
      </c>
      <c r="E29" s="155">
        <f t="shared" si="25"/>
        <v>243.78550000000001</v>
      </c>
      <c r="F29" s="155">
        <f t="shared" si="23"/>
        <v>252.80556350000001</v>
      </c>
      <c r="G29" s="155">
        <f t="shared" si="23"/>
        <v>260.6425359685</v>
      </c>
      <c r="H29" s="155">
        <f t="shared" si="23"/>
        <v>270.54695233530299</v>
      </c>
      <c r="I29" s="155">
        <f t="shared" si="23"/>
        <v>277.58117309602085</v>
      </c>
      <c r="J29" s="155">
        <v>0</v>
      </c>
      <c r="K29" s="155">
        <v>243.78550000000001</v>
      </c>
      <c r="L29" s="155">
        <f t="shared" si="26"/>
        <v>252.80556350000001</v>
      </c>
      <c r="M29" s="155">
        <f t="shared" si="27"/>
        <v>260.6425359685</v>
      </c>
      <c r="N29" s="155">
        <f t="shared" si="28"/>
        <v>270.54695233530299</v>
      </c>
      <c r="O29" s="155">
        <f t="shared" si="29"/>
        <v>277.58117309602085</v>
      </c>
      <c r="P29" s="155"/>
      <c r="Q29" s="155">
        <v>52.880800000000001</v>
      </c>
      <c r="R29" s="155">
        <f>Q29*1.037</f>
        <v>54.837389599999995</v>
      </c>
      <c r="S29" s="155">
        <f>R29*1.031</f>
        <v>56.537348677599987</v>
      </c>
      <c r="T29" s="155">
        <f>S29*1.038</f>
        <v>58.685767927348785</v>
      </c>
      <c r="U29" s="155">
        <f>T29*1.026</f>
        <v>60.211597893459853</v>
      </c>
      <c r="V29" s="155">
        <v>0</v>
      </c>
      <c r="W29" s="155">
        <v>12</v>
      </c>
      <c r="X29" s="155">
        <v>12</v>
      </c>
      <c r="Y29" s="155">
        <v>12</v>
      </c>
      <c r="Z29" s="155">
        <v>12</v>
      </c>
      <c r="AA29" s="155">
        <v>12</v>
      </c>
      <c r="AB29" s="156"/>
      <c r="AC29" s="156">
        <f t="shared" ref="AC29" si="37">(AI29*1000000/W29)/12</f>
        <v>6112.5</v>
      </c>
      <c r="AD29" s="156">
        <f t="shared" ref="AD29" si="38">(AJ29*1000000/X29)/12</f>
        <v>6509.8124999999991</v>
      </c>
      <c r="AE29" s="207">
        <f t="shared" si="4"/>
        <v>6828.793312499999</v>
      </c>
      <c r="AF29" s="207">
        <f t="shared" si="5"/>
        <v>7136.0890115624989</v>
      </c>
      <c r="AG29" s="207">
        <f t="shared" si="6"/>
        <v>7421.5325720249994</v>
      </c>
      <c r="AH29" s="156"/>
      <c r="AI29" s="156">
        <v>0.88019999999999998</v>
      </c>
      <c r="AJ29" s="156">
        <f t="shared" si="30"/>
        <v>0.93741299999999994</v>
      </c>
      <c r="AK29" s="156">
        <f>AE29*Y29*12/1000000</f>
        <v>0.98334623700000001</v>
      </c>
      <c r="AL29" s="156">
        <f t="shared" ref="AL29:AL31" si="39">AF29*Z29*12/1000000</f>
        <v>1.0275968176649997</v>
      </c>
      <c r="AM29" s="156">
        <f t="shared" ref="AM29:AM31" si="40">AG29*AA29*12/1000000</f>
        <v>1.0687006903715999</v>
      </c>
      <c r="AN29" s="4"/>
      <c r="AO29" s="4"/>
    </row>
    <row r="30" spans="1:41" s="35" customFormat="1" ht="15.75">
      <c r="A30" s="108" t="s">
        <v>204</v>
      </c>
      <c r="B30" s="105"/>
      <c r="C30" s="152"/>
      <c r="D30" s="30"/>
      <c r="E30" s="155">
        <f t="shared" si="25"/>
        <v>11.333</v>
      </c>
      <c r="F30" s="155">
        <f t="shared" si="23"/>
        <v>11.752320999999998</v>
      </c>
      <c r="G30" s="155">
        <f t="shared" si="23"/>
        <v>12.116642950999998</v>
      </c>
      <c r="H30" s="155">
        <f t="shared" si="23"/>
        <v>12.577075383137998</v>
      </c>
      <c r="I30" s="155">
        <f t="shared" si="23"/>
        <v>12.904079343099587</v>
      </c>
      <c r="J30" s="155"/>
      <c r="K30" s="155">
        <v>11.333</v>
      </c>
      <c r="L30" s="155">
        <f t="shared" si="26"/>
        <v>11.752320999999998</v>
      </c>
      <c r="M30" s="155">
        <f t="shared" si="27"/>
        <v>12.116642950999998</v>
      </c>
      <c r="N30" s="155">
        <f t="shared" si="28"/>
        <v>12.577075383137998</v>
      </c>
      <c r="O30" s="155">
        <f t="shared" si="29"/>
        <v>12.904079343099587</v>
      </c>
      <c r="P30" s="155"/>
      <c r="Q30" s="155">
        <v>0.75</v>
      </c>
      <c r="R30" s="155">
        <f>Q30*1.037</f>
        <v>0.77774999999999994</v>
      </c>
      <c r="S30" s="155">
        <f>R30*1.031</f>
        <v>0.80186024999999983</v>
      </c>
      <c r="T30" s="155">
        <f>S30*1.038</f>
        <v>0.83233093949999981</v>
      </c>
      <c r="U30" s="155">
        <f>T30*1.026</f>
        <v>0.85397154392699981</v>
      </c>
      <c r="V30" s="155"/>
      <c r="W30" s="155">
        <v>8</v>
      </c>
      <c r="X30" s="155">
        <v>2</v>
      </c>
      <c r="Y30" s="155">
        <v>2</v>
      </c>
      <c r="Z30" s="155">
        <v>2</v>
      </c>
      <c r="AA30" s="155">
        <v>2</v>
      </c>
      <c r="AB30" s="156"/>
      <c r="AC30" s="156">
        <f t="shared" ref="AC30:AC31" si="41">(AI30*1000000/W30)/12</f>
        <v>9802.0833333333339</v>
      </c>
      <c r="AD30" s="156">
        <f t="shared" ref="AD30:AD31" si="42">(AJ30*1000000/X30)/12</f>
        <v>12500</v>
      </c>
      <c r="AE30" s="207">
        <f t="shared" si="4"/>
        <v>13112.5</v>
      </c>
      <c r="AF30" s="207">
        <f t="shared" si="5"/>
        <v>13702.562499999998</v>
      </c>
      <c r="AG30" s="207">
        <f t="shared" si="6"/>
        <v>14250.664999999999</v>
      </c>
      <c r="AH30" s="156"/>
      <c r="AI30" s="156">
        <v>0.94099999999999995</v>
      </c>
      <c r="AJ30" s="156">
        <v>0.3</v>
      </c>
      <c r="AK30" s="156">
        <f>AE30*Y30*12/1000000</f>
        <v>0.31469999999999998</v>
      </c>
      <c r="AL30" s="156">
        <f t="shared" si="39"/>
        <v>0.32886149999999992</v>
      </c>
      <c r="AM30" s="156">
        <f t="shared" si="40"/>
        <v>0.34201595999999995</v>
      </c>
      <c r="AN30" s="4"/>
      <c r="AO30" s="4"/>
    </row>
    <row r="31" spans="1:41" s="35" customFormat="1" ht="31.5">
      <c r="A31" s="108" t="s">
        <v>205</v>
      </c>
      <c r="B31" s="105" t="s">
        <v>206</v>
      </c>
      <c r="C31" s="152"/>
      <c r="D31" s="30"/>
      <c r="E31" s="155">
        <f t="shared" si="25"/>
        <v>0</v>
      </c>
      <c r="F31" s="155">
        <f t="shared" si="23"/>
        <v>0</v>
      </c>
      <c r="G31" s="155">
        <f t="shared" si="23"/>
        <v>0</v>
      </c>
      <c r="H31" s="155">
        <f t="shared" si="23"/>
        <v>0</v>
      </c>
      <c r="I31" s="155">
        <f t="shared" si="23"/>
        <v>0</v>
      </c>
      <c r="J31" s="155"/>
      <c r="K31" s="155">
        <v>0</v>
      </c>
      <c r="L31" s="155"/>
      <c r="M31" s="155"/>
      <c r="N31" s="155"/>
      <c r="O31" s="155"/>
      <c r="P31" s="155"/>
      <c r="Q31" s="155">
        <v>0.193</v>
      </c>
      <c r="R31" s="155">
        <f>Q31*1.037</f>
        <v>0.20014099999999999</v>
      </c>
      <c r="S31" s="155">
        <f>R31*1.031</f>
        <v>0.20634537099999997</v>
      </c>
      <c r="T31" s="155">
        <f>S31*1.038</f>
        <v>0.21418649509799997</v>
      </c>
      <c r="U31" s="155">
        <f>T31*1.026</f>
        <v>0.21975534397054797</v>
      </c>
      <c r="V31" s="155"/>
      <c r="W31" s="155">
        <v>5</v>
      </c>
      <c r="X31" s="155">
        <v>2</v>
      </c>
      <c r="Y31" s="155">
        <v>2</v>
      </c>
      <c r="Z31" s="155">
        <v>2</v>
      </c>
      <c r="AA31" s="155">
        <v>2</v>
      </c>
      <c r="AB31" s="156"/>
      <c r="AC31" s="156">
        <f t="shared" si="41"/>
        <v>4506.666666666667</v>
      </c>
      <c r="AD31" s="156">
        <f t="shared" si="42"/>
        <v>11998.999999999998</v>
      </c>
      <c r="AE31" s="207">
        <f t="shared" si="4"/>
        <v>12586.950999999997</v>
      </c>
      <c r="AF31" s="207">
        <f t="shared" si="5"/>
        <v>13153.363794999996</v>
      </c>
      <c r="AG31" s="207">
        <f t="shared" si="6"/>
        <v>13679.498346799995</v>
      </c>
      <c r="AH31" s="156"/>
      <c r="AI31" s="156">
        <v>0.27039999999999997</v>
      </c>
      <c r="AJ31" s="156">
        <f t="shared" si="30"/>
        <v>0.28797599999999995</v>
      </c>
      <c r="AK31" s="156">
        <f>AE31*Y31*12/1000000</f>
        <v>0.30208682399999992</v>
      </c>
      <c r="AL31" s="156">
        <f t="shared" si="39"/>
        <v>0.31568073107999989</v>
      </c>
      <c r="AM31" s="156">
        <f t="shared" si="40"/>
        <v>0.32830796032319987</v>
      </c>
      <c r="AN31" s="4"/>
      <c r="AO31" s="4"/>
    </row>
    <row r="32" spans="1:41" s="35" customFormat="1" ht="15.75">
      <c r="A32" s="108" t="s">
        <v>207</v>
      </c>
      <c r="B32" s="105" t="s">
        <v>208</v>
      </c>
      <c r="C32" s="152"/>
      <c r="D32" s="30"/>
      <c r="E32" s="155">
        <f t="shared" si="25"/>
        <v>0</v>
      </c>
      <c r="F32" s="155">
        <f t="shared" si="23"/>
        <v>0</v>
      </c>
      <c r="G32" s="155">
        <f t="shared" si="23"/>
        <v>0</v>
      </c>
      <c r="H32" s="155">
        <f t="shared" si="23"/>
        <v>0</v>
      </c>
      <c r="I32" s="155">
        <f t="shared" si="23"/>
        <v>0</v>
      </c>
      <c r="J32" s="155"/>
      <c r="K32" s="155">
        <v>0</v>
      </c>
      <c r="L32" s="155"/>
      <c r="M32" s="155"/>
      <c r="N32" s="155"/>
      <c r="O32" s="155"/>
      <c r="P32" s="155"/>
      <c r="Q32" s="155">
        <v>0</v>
      </c>
      <c r="R32" s="155"/>
      <c r="S32" s="155"/>
      <c r="T32" s="155"/>
      <c r="U32" s="155"/>
      <c r="V32" s="155"/>
      <c r="W32" s="155"/>
      <c r="X32" s="155">
        <v>0</v>
      </c>
      <c r="Y32" s="155">
        <v>0</v>
      </c>
      <c r="Z32" s="155">
        <v>0</v>
      </c>
      <c r="AA32" s="155">
        <v>0</v>
      </c>
      <c r="AB32" s="156"/>
      <c r="AC32" s="156"/>
      <c r="AD32" s="156"/>
      <c r="AE32" s="207"/>
      <c r="AF32" s="207"/>
      <c r="AG32" s="207"/>
      <c r="AH32" s="156"/>
      <c r="AI32" s="156">
        <v>0</v>
      </c>
      <c r="AJ32" s="156"/>
      <c r="AK32" s="156"/>
      <c r="AL32" s="156"/>
      <c r="AM32" s="156"/>
      <c r="AN32" s="4"/>
      <c r="AO32" s="4"/>
    </row>
    <row r="33" spans="1:41" s="35" customFormat="1" ht="15.75">
      <c r="A33" s="108" t="s">
        <v>209</v>
      </c>
      <c r="B33" s="105" t="s">
        <v>208</v>
      </c>
      <c r="C33" s="152"/>
      <c r="D33" s="30"/>
      <c r="E33" s="155">
        <f t="shared" si="25"/>
        <v>0</v>
      </c>
      <c r="F33" s="155">
        <f t="shared" si="23"/>
        <v>0</v>
      </c>
      <c r="G33" s="155">
        <f t="shared" si="23"/>
        <v>0</v>
      </c>
      <c r="H33" s="155">
        <f t="shared" si="23"/>
        <v>0</v>
      </c>
      <c r="I33" s="155">
        <f t="shared" si="23"/>
        <v>0</v>
      </c>
      <c r="J33" s="155"/>
      <c r="K33" s="155">
        <v>0</v>
      </c>
      <c r="L33" s="155"/>
      <c r="M33" s="155"/>
      <c r="N33" s="155"/>
      <c r="O33" s="155"/>
      <c r="P33" s="155"/>
      <c r="Q33" s="155">
        <v>0</v>
      </c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6"/>
      <c r="AC33" s="156"/>
      <c r="AD33" s="156"/>
      <c r="AE33" s="207"/>
      <c r="AF33" s="207"/>
      <c r="AG33" s="207"/>
      <c r="AH33" s="156"/>
      <c r="AI33" s="156">
        <v>0</v>
      </c>
      <c r="AJ33" s="156"/>
      <c r="AK33" s="156"/>
      <c r="AL33" s="156"/>
      <c r="AM33" s="156"/>
      <c r="AN33" s="4"/>
      <c r="AO33" s="4"/>
    </row>
    <row r="34" spans="1:41" s="35" customFormat="1" ht="15.75">
      <c r="A34" s="108" t="s">
        <v>210</v>
      </c>
      <c r="B34" s="105" t="s">
        <v>197</v>
      </c>
      <c r="C34" s="152"/>
      <c r="D34" s="30"/>
      <c r="E34" s="155">
        <f t="shared" si="25"/>
        <v>0</v>
      </c>
      <c r="F34" s="155">
        <f t="shared" si="23"/>
        <v>0</v>
      </c>
      <c r="G34" s="155">
        <f t="shared" si="23"/>
        <v>0</v>
      </c>
      <c r="H34" s="155">
        <f t="shared" si="23"/>
        <v>0</v>
      </c>
      <c r="I34" s="155">
        <f t="shared" si="23"/>
        <v>0</v>
      </c>
      <c r="J34" s="155"/>
      <c r="K34" s="155">
        <v>0</v>
      </c>
      <c r="L34" s="155"/>
      <c r="M34" s="155"/>
      <c r="N34" s="155"/>
      <c r="O34" s="155"/>
      <c r="P34" s="155"/>
      <c r="Q34" s="155">
        <v>0</v>
      </c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6"/>
      <c r="AC34" s="156"/>
      <c r="AD34" s="156"/>
      <c r="AE34" s="207"/>
      <c r="AF34" s="207"/>
      <c r="AG34" s="207"/>
      <c r="AH34" s="156"/>
      <c r="AI34" s="156">
        <v>0</v>
      </c>
      <c r="AJ34" s="156"/>
      <c r="AK34" s="156"/>
      <c r="AL34" s="156"/>
      <c r="AM34" s="156"/>
      <c r="AN34" s="4"/>
      <c r="AO34" s="4"/>
    </row>
    <row r="35" spans="1:41" s="35" customFormat="1" ht="15.75">
      <c r="A35" s="108" t="s">
        <v>211</v>
      </c>
      <c r="B35" s="105" t="s">
        <v>212</v>
      </c>
      <c r="C35" s="152"/>
      <c r="D35" s="30"/>
      <c r="E35" s="155">
        <f t="shared" si="25"/>
        <v>0</v>
      </c>
      <c r="F35" s="155">
        <f t="shared" si="23"/>
        <v>0</v>
      </c>
      <c r="G35" s="155">
        <f t="shared" si="23"/>
        <v>0</v>
      </c>
      <c r="H35" s="155">
        <f t="shared" si="23"/>
        <v>0</v>
      </c>
      <c r="I35" s="155">
        <f t="shared" si="23"/>
        <v>0</v>
      </c>
      <c r="J35" s="155"/>
      <c r="K35" s="155">
        <v>0</v>
      </c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6"/>
      <c r="AC35" s="156"/>
      <c r="AD35" s="156"/>
      <c r="AE35" s="207"/>
      <c r="AF35" s="207"/>
      <c r="AG35" s="207"/>
      <c r="AH35" s="156"/>
      <c r="AI35" s="156">
        <v>0</v>
      </c>
      <c r="AJ35" s="156"/>
      <c r="AK35" s="156"/>
      <c r="AL35" s="156"/>
      <c r="AM35" s="156"/>
      <c r="AN35" s="4"/>
      <c r="AO35" s="4"/>
    </row>
    <row r="36" spans="1:41" s="35" customFormat="1" ht="15.75">
      <c r="A36" s="108" t="s">
        <v>213</v>
      </c>
      <c r="B36" s="105"/>
      <c r="C36" s="152"/>
      <c r="D36" s="30">
        <v>1.27</v>
      </c>
      <c r="E36" s="155">
        <f t="shared" si="25"/>
        <v>3.9157999999999999</v>
      </c>
      <c r="F36" s="155">
        <f t="shared" si="23"/>
        <v>4.0606845999999992</v>
      </c>
      <c r="G36" s="155">
        <f t="shared" si="23"/>
        <v>4.1865658225999987</v>
      </c>
      <c r="H36" s="155">
        <f t="shared" si="23"/>
        <v>4.3456553238587992</v>
      </c>
      <c r="I36" s="155">
        <f t="shared" si="23"/>
        <v>4.4586423622791278</v>
      </c>
      <c r="J36" s="155">
        <v>1.27</v>
      </c>
      <c r="K36" s="155">
        <v>3.9157999999999999</v>
      </c>
      <c r="L36" s="155">
        <f t="shared" ref="L36" si="43">K36*1.037</f>
        <v>4.0606845999999992</v>
      </c>
      <c r="M36" s="155">
        <f t="shared" ref="M36" si="44">L36*1.031</f>
        <v>4.1865658225999987</v>
      </c>
      <c r="N36" s="155">
        <f t="shared" ref="N36" si="45">M36*1.038</f>
        <v>4.3456553238587992</v>
      </c>
      <c r="O36" s="155">
        <f t="shared" ref="O36" si="46">N36*1.026</f>
        <v>4.4586423622791278</v>
      </c>
      <c r="P36" s="155">
        <v>0</v>
      </c>
      <c r="Q36" s="155">
        <v>0.115</v>
      </c>
      <c r="R36" s="155">
        <f>Q36*1.037</f>
        <v>0.119255</v>
      </c>
      <c r="S36" s="155">
        <f>R36*1.031</f>
        <v>0.12295190499999999</v>
      </c>
      <c r="T36" s="155">
        <f>S36*1.038</f>
        <v>0.12762407738999998</v>
      </c>
      <c r="U36" s="155">
        <f>T36*1.026</f>
        <v>0.13094230340213997</v>
      </c>
      <c r="V36" s="155">
        <v>2</v>
      </c>
      <c r="W36" s="155">
        <v>4</v>
      </c>
      <c r="X36" s="155">
        <v>4</v>
      </c>
      <c r="Y36" s="155">
        <v>4</v>
      </c>
      <c r="Z36" s="155">
        <v>4</v>
      </c>
      <c r="AA36" s="155">
        <v>4</v>
      </c>
      <c r="AB36" s="156">
        <f>(AH36*1000000/V36)/12</f>
        <v>8333.3333333333339</v>
      </c>
      <c r="AC36" s="156">
        <f>(AI36*1000000/W36)/12</f>
        <v>7916.666666666667</v>
      </c>
      <c r="AD36" s="156">
        <f t="shared" ref="AD36:AD37" si="47">(AJ36*1000000/X36)/12</f>
        <v>8431.25</v>
      </c>
      <c r="AE36" s="207">
        <f t="shared" si="4"/>
        <v>8844.3812499999985</v>
      </c>
      <c r="AF36" s="207">
        <f t="shared" si="5"/>
        <v>9242.3784062499981</v>
      </c>
      <c r="AG36" s="207">
        <f t="shared" si="6"/>
        <v>9612.0735424999984</v>
      </c>
      <c r="AH36" s="156">
        <v>0.2</v>
      </c>
      <c r="AI36" s="156">
        <v>0.38</v>
      </c>
      <c r="AJ36" s="156">
        <f t="shared" si="30"/>
        <v>0.4047</v>
      </c>
      <c r="AK36" s="156">
        <f>AE36*Y36*12/1000000</f>
        <v>0.42453029999999992</v>
      </c>
      <c r="AL36" s="156">
        <f t="shared" ref="AL36" si="48">AF36*Z36*12/1000000</f>
        <v>0.4436341634999999</v>
      </c>
      <c r="AM36" s="156">
        <f t="shared" ref="AM36" si="49">AG36*AA36*12/1000000</f>
        <v>0.46137953003999993</v>
      </c>
      <c r="AN36" s="4"/>
      <c r="AO36" s="4"/>
    </row>
    <row r="37" spans="1:41" s="35" customFormat="1" ht="64.5" customHeight="1">
      <c r="A37" s="171" t="s">
        <v>86</v>
      </c>
      <c r="B37" s="257"/>
      <c r="C37" s="152"/>
      <c r="D37" s="162">
        <f>SUM(D39:D40)</f>
        <v>2.63</v>
      </c>
      <c r="E37" s="162">
        <f t="shared" ref="E37:I37" si="50">SUM(E39:E40)</f>
        <v>1.5189999999999999</v>
      </c>
      <c r="F37" s="162">
        <f t="shared" si="50"/>
        <v>1.6906469999999998</v>
      </c>
      <c r="G37" s="162">
        <f t="shared" si="50"/>
        <v>1.7515102919999999</v>
      </c>
      <c r="H37" s="162">
        <f t="shared" si="50"/>
        <v>1.8180676830959999</v>
      </c>
      <c r="I37" s="162">
        <f t="shared" si="50"/>
        <v>1.8707916459057836</v>
      </c>
      <c r="J37" s="162">
        <f>SUM(J39:J40)</f>
        <v>2.63</v>
      </c>
      <c r="K37" s="162">
        <f t="shared" ref="K37:AM37" si="51">SUM(K39:K40)</f>
        <v>1.5189999999999999</v>
      </c>
      <c r="L37" s="162">
        <f t="shared" si="51"/>
        <v>1.6906469999999998</v>
      </c>
      <c r="M37" s="162">
        <f t="shared" si="51"/>
        <v>1.7515102919999999</v>
      </c>
      <c r="N37" s="162">
        <f t="shared" si="51"/>
        <v>1.8180676830959999</v>
      </c>
      <c r="O37" s="162">
        <f t="shared" si="51"/>
        <v>1.8707916459057836</v>
      </c>
      <c r="P37" s="162">
        <f t="shared" si="51"/>
        <v>0.05</v>
      </c>
      <c r="Q37" s="162">
        <f t="shared" si="51"/>
        <v>4.0000000000000001E-3</v>
      </c>
      <c r="R37" s="162">
        <f t="shared" si="51"/>
        <v>0</v>
      </c>
      <c r="S37" s="162">
        <f t="shared" si="51"/>
        <v>0</v>
      </c>
      <c r="T37" s="162">
        <f t="shared" si="51"/>
        <v>0</v>
      </c>
      <c r="U37" s="162">
        <f t="shared" si="51"/>
        <v>0</v>
      </c>
      <c r="V37" s="162">
        <f t="shared" si="51"/>
        <v>7</v>
      </c>
      <c r="W37" s="162">
        <f t="shared" si="51"/>
        <v>8</v>
      </c>
      <c r="X37" s="162">
        <f t="shared" si="51"/>
        <v>5</v>
      </c>
      <c r="Y37" s="162">
        <f t="shared" si="51"/>
        <v>6</v>
      </c>
      <c r="Z37" s="162">
        <f t="shared" si="51"/>
        <v>6</v>
      </c>
      <c r="AA37" s="162">
        <f t="shared" si="51"/>
        <v>6</v>
      </c>
      <c r="AB37" s="156">
        <f>(AH37*1000000/V37)/12</f>
        <v>11547.619047619048</v>
      </c>
      <c r="AC37" s="156">
        <f>(AI37*1000000/W37)/12</f>
        <v>7138.541666666667</v>
      </c>
      <c r="AD37" s="156">
        <f t="shared" si="47"/>
        <v>12164.074999999999</v>
      </c>
      <c r="AE37" s="207">
        <f t="shared" si="4"/>
        <v>12760.114674999999</v>
      </c>
      <c r="AF37" s="207">
        <f t="shared" si="5"/>
        <v>13334.319835374998</v>
      </c>
      <c r="AG37" s="207">
        <f t="shared" si="6"/>
        <v>13867.692628789999</v>
      </c>
      <c r="AH37" s="172">
        <f t="shared" si="51"/>
        <v>0.97</v>
      </c>
      <c r="AI37" s="172">
        <f t="shared" si="51"/>
        <v>0.68530000000000002</v>
      </c>
      <c r="AJ37" s="172">
        <f t="shared" si="51"/>
        <v>0.72984450000000001</v>
      </c>
      <c r="AK37" s="172">
        <f t="shared" si="51"/>
        <v>0.91872825660000002</v>
      </c>
      <c r="AL37" s="172">
        <f t="shared" si="51"/>
        <v>0.96007102814699985</v>
      </c>
      <c r="AM37" s="172">
        <f t="shared" si="51"/>
        <v>0.99847386927287995</v>
      </c>
      <c r="AN37" s="4"/>
      <c r="AO37" s="4"/>
    </row>
    <row r="38" spans="1:41" s="35" customFormat="1" ht="15.75" customHeight="1">
      <c r="A38" s="170" t="s">
        <v>95</v>
      </c>
      <c r="B38" s="258"/>
      <c r="C38" s="152"/>
      <c r="D38" s="30"/>
      <c r="E38" s="30"/>
      <c r="F38" s="30"/>
      <c r="G38" s="30"/>
      <c r="H38" s="30"/>
      <c r="I38" s="30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6"/>
      <c r="AC38" s="156"/>
      <c r="AD38" s="156"/>
      <c r="AE38" s="207"/>
      <c r="AF38" s="207"/>
      <c r="AG38" s="207"/>
      <c r="AH38" s="156"/>
      <c r="AI38" s="156"/>
      <c r="AJ38" s="156"/>
      <c r="AK38" s="156"/>
      <c r="AL38" s="156"/>
      <c r="AM38" s="156"/>
      <c r="AN38" s="4"/>
      <c r="AO38" s="4"/>
    </row>
    <row r="39" spans="1:41" s="35" customFormat="1" ht="15.75">
      <c r="A39" s="157" t="s">
        <v>214</v>
      </c>
      <c r="B39" s="105"/>
      <c r="C39" s="152"/>
      <c r="D39" s="30">
        <v>1.57</v>
      </c>
      <c r="E39" s="155">
        <f>K39</f>
        <v>1.5189999999999999</v>
      </c>
      <c r="F39" s="155">
        <f t="shared" ref="F39:I47" si="52">L39</f>
        <v>1.6906469999999998</v>
      </c>
      <c r="G39" s="155">
        <f t="shared" si="52"/>
        <v>1.7515102919999999</v>
      </c>
      <c r="H39" s="155">
        <f t="shared" si="52"/>
        <v>1.8180676830959999</v>
      </c>
      <c r="I39" s="155">
        <f t="shared" si="52"/>
        <v>1.8707916459057836</v>
      </c>
      <c r="J39" s="155">
        <v>1.57</v>
      </c>
      <c r="K39" s="155">
        <v>1.5189999999999999</v>
      </c>
      <c r="L39" s="155">
        <f>K39*1.113</f>
        <v>1.6906469999999998</v>
      </c>
      <c r="M39" s="155">
        <f>L39*1.036</f>
        <v>1.7515102919999999</v>
      </c>
      <c r="N39" s="155">
        <f>M39*1.038</f>
        <v>1.8180676830959999</v>
      </c>
      <c r="O39" s="155">
        <f>N39*1.029</f>
        <v>1.8707916459057836</v>
      </c>
      <c r="P39" s="155">
        <v>0.03</v>
      </c>
      <c r="Q39" s="155">
        <v>4.0000000000000001E-3</v>
      </c>
      <c r="R39" s="155"/>
      <c r="S39" s="155"/>
      <c r="T39" s="155"/>
      <c r="U39" s="155"/>
      <c r="V39" s="155">
        <v>5</v>
      </c>
      <c r="W39" s="155">
        <v>4</v>
      </c>
      <c r="X39" s="155"/>
      <c r="Y39" s="155"/>
      <c r="Z39" s="155"/>
      <c r="AA39" s="155"/>
      <c r="AB39" s="156">
        <f>(AH39*1000000/V39)/12</f>
        <v>9500</v>
      </c>
      <c r="AC39" s="156"/>
      <c r="AD39" s="156"/>
      <c r="AE39" s="207"/>
      <c r="AF39" s="207"/>
      <c r="AG39" s="207"/>
      <c r="AH39" s="156">
        <v>0.56999999999999995</v>
      </c>
      <c r="AI39" s="156">
        <v>0</v>
      </c>
      <c r="AJ39" s="156"/>
      <c r="AK39" s="156"/>
      <c r="AL39" s="156"/>
      <c r="AM39" s="156"/>
      <c r="AN39" s="4"/>
      <c r="AO39" s="4"/>
    </row>
    <row r="40" spans="1:41" s="35" customFormat="1" ht="15.75">
      <c r="A40" s="108" t="s">
        <v>215</v>
      </c>
      <c r="B40" s="105"/>
      <c r="C40" s="152"/>
      <c r="D40" s="30">
        <v>1.06</v>
      </c>
      <c r="E40" s="155">
        <f t="shared" ref="E40:E47" si="53">K40</f>
        <v>0</v>
      </c>
      <c r="F40" s="155">
        <f t="shared" si="52"/>
        <v>0</v>
      </c>
      <c r="G40" s="155">
        <f t="shared" si="52"/>
        <v>0</v>
      </c>
      <c r="H40" s="155">
        <f t="shared" si="52"/>
        <v>0</v>
      </c>
      <c r="I40" s="155">
        <f t="shared" si="52"/>
        <v>0</v>
      </c>
      <c r="J40" s="155">
        <v>1.06</v>
      </c>
      <c r="K40" s="155">
        <v>0</v>
      </c>
      <c r="L40" s="155"/>
      <c r="M40" s="155"/>
      <c r="N40" s="155"/>
      <c r="O40" s="155"/>
      <c r="P40" s="155">
        <v>0.02</v>
      </c>
      <c r="Q40" s="155">
        <v>0</v>
      </c>
      <c r="R40" s="155"/>
      <c r="S40" s="155"/>
      <c r="T40" s="155"/>
      <c r="U40" s="155"/>
      <c r="V40" s="155">
        <v>2</v>
      </c>
      <c r="W40" s="155">
        <v>4</v>
      </c>
      <c r="X40" s="155">
        <v>5</v>
      </c>
      <c r="Y40" s="155">
        <v>6</v>
      </c>
      <c r="Z40" s="155">
        <v>6</v>
      </c>
      <c r="AA40" s="155">
        <v>6</v>
      </c>
      <c r="AB40" s="156">
        <f>(AH40*1000000/V40)/12</f>
        <v>16666.666666666668</v>
      </c>
      <c r="AC40" s="156">
        <f t="shared" ref="AC40:AD41" si="54">(AI40*1000000/W40)/12</f>
        <v>14277.083333333334</v>
      </c>
      <c r="AD40" s="156">
        <f t="shared" si="54"/>
        <v>12164.074999999999</v>
      </c>
      <c r="AE40" s="207">
        <f t="shared" si="4"/>
        <v>12760.114674999999</v>
      </c>
      <c r="AF40" s="207">
        <f t="shared" si="5"/>
        <v>13334.319835374998</v>
      </c>
      <c r="AG40" s="207">
        <f t="shared" si="6"/>
        <v>13867.692628789999</v>
      </c>
      <c r="AH40" s="156">
        <v>0.4</v>
      </c>
      <c r="AI40" s="156">
        <v>0.68530000000000002</v>
      </c>
      <c r="AJ40" s="156">
        <f t="shared" ref="AJ40" si="55">AI40*1.065</f>
        <v>0.72984450000000001</v>
      </c>
      <c r="AK40" s="156">
        <f>AE40*Y40*12/1000000</f>
        <v>0.91872825660000002</v>
      </c>
      <c r="AL40" s="156">
        <f t="shared" ref="AL40" si="56">AF40*Z40*12/1000000</f>
        <v>0.96007102814699985</v>
      </c>
      <c r="AM40" s="156">
        <f t="shared" ref="AM40" si="57">AG40*AA40*12/1000000</f>
        <v>0.99847386927287995</v>
      </c>
      <c r="AN40" s="4"/>
      <c r="AO40" s="4"/>
    </row>
    <row r="41" spans="1:41" s="35" customFormat="1" ht="15" customHeight="1">
      <c r="A41" s="169" t="s">
        <v>87</v>
      </c>
      <c r="B41" s="161"/>
      <c r="C41" s="152"/>
      <c r="D41" s="162">
        <f t="shared" ref="D41:I41" si="58">SUM(D43)</f>
        <v>12.3</v>
      </c>
      <c r="E41" s="162">
        <f t="shared" si="58"/>
        <v>18.087</v>
      </c>
      <c r="F41" s="162">
        <f t="shared" si="58"/>
        <v>18.919001999999999</v>
      </c>
      <c r="G41" s="162">
        <f t="shared" si="58"/>
        <v>20.621712179999999</v>
      </c>
      <c r="H41" s="162">
        <f t="shared" si="58"/>
        <v>21.178498408859998</v>
      </c>
      <c r="I41" s="162">
        <f t="shared" si="58"/>
        <v>21.623246875446057</v>
      </c>
      <c r="J41" s="162">
        <f t="shared" ref="J41:AM41" si="59">SUM(J43)</f>
        <v>12.3</v>
      </c>
      <c r="K41" s="162">
        <f t="shared" si="59"/>
        <v>18.087</v>
      </c>
      <c r="L41" s="162">
        <f t="shared" si="59"/>
        <v>18.919001999999999</v>
      </c>
      <c r="M41" s="162">
        <f t="shared" si="59"/>
        <v>20.621712179999999</v>
      </c>
      <c r="N41" s="162">
        <f t="shared" si="59"/>
        <v>21.178498408859998</v>
      </c>
      <c r="O41" s="162">
        <f t="shared" si="59"/>
        <v>21.623246875446057</v>
      </c>
      <c r="P41" s="162">
        <f t="shared" si="59"/>
        <v>0.13</v>
      </c>
      <c r="Q41" s="162">
        <f t="shared" si="59"/>
        <v>0.155</v>
      </c>
      <c r="R41" s="162">
        <f t="shared" si="59"/>
        <v>0</v>
      </c>
      <c r="S41" s="162">
        <f t="shared" si="59"/>
        <v>0</v>
      </c>
      <c r="T41" s="162">
        <f t="shared" si="59"/>
        <v>0</v>
      </c>
      <c r="U41" s="162">
        <f t="shared" si="59"/>
        <v>0</v>
      </c>
      <c r="V41" s="162">
        <f t="shared" si="59"/>
        <v>11</v>
      </c>
      <c r="W41" s="162">
        <f t="shared" si="59"/>
        <v>6</v>
      </c>
      <c r="X41" s="162">
        <f t="shared" si="59"/>
        <v>6</v>
      </c>
      <c r="Y41" s="162">
        <f t="shared" si="59"/>
        <v>7</v>
      </c>
      <c r="Z41" s="162">
        <f t="shared" si="59"/>
        <v>8</v>
      </c>
      <c r="AA41" s="162">
        <f t="shared" si="59"/>
        <v>8</v>
      </c>
      <c r="AB41" s="172">
        <f>(AH41*1000000/V41)/12</f>
        <v>5075.757575757576</v>
      </c>
      <c r="AC41" s="172">
        <f>(AI41*1000000/W41)/12</f>
        <v>7277.7777777777774</v>
      </c>
      <c r="AD41" s="172">
        <f t="shared" si="54"/>
        <v>7750.833333333333</v>
      </c>
      <c r="AE41" s="207">
        <f t="shared" si="4"/>
        <v>8130.6241666666656</v>
      </c>
      <c r="AF41" s="207">
        <f t="shared" si="5"/>
        <v>8496.5022541666658</v>
      </c>
      <c r="AG41" s="207">
        <f t="shared" si="6"/>
        <v>8836.3623443333327</v>
      </c>
      <c r="AH41" s="172">
        <f t="shared" si="59"/>
        <v>0.67</v>
      </c>
      <c r="AI41" s="172">
        <f t="shared" si="59"/>
        <v>0.52400000000000002</v>
      </c>
      <c r="AJ41" s="172">
        <f t="shared" si="59"/>
        <v>0.55806</v>
      </c>
      <c r="AK41" s="172">
        <f t="shared" si="59"/>
        <v>0.68297242999999996</v>
      </c>
      <c r="AL41" s="172">
        <f t="shared" si="59"/>
        <v>0.81566421639999986</v>
      </c>
      <c r="AM41" s="172">
        <f t="shared" si="59"/>
        <v>0.84829078505599986</v>
      </c>
      <c r="AN41" s="4"/>
      <c r="AO41" s="4"/>
    </row>
    <row r="42" spans="1:41" s="35" customFormat="1" ht="15.75" customHeight="1">
      <c r="A42" s="170" t="s">
        <v>95</v>
      </c>
      <c r="B42" s="164"/>
      <c r="C42" s="152"/>
      <c r="D42" s="30"/>
      <c r="E42" s="155">
        <f t="shared" si="53"/>
        <v>0</v>
      </c>
      <c r="F42" s="155">
        <f t="shared" si="52"/>
        <v>0</v>
      </c>
      <c r="G42" s="155">
        <f t="shared" si="52"/>
        <v>0</v>
      </c>
      <c r="H42" s="155">
        <f t="shared" si="52"/>
        <v>0</v>
      </c>
      <c r="I42" s="155">
        <f t="shared" si="52"/>
        <v>0</v>
      </c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6"/>
      <c r="AC42" s="156"/>
      <c r="AD42" s="156"/>
      <c r="AE42" s="207"/>
      <c r="AF42" s="207"/>
      <c r="AG42" s="207"/>
      <c r="AH42" s="156"/>
      <c r="AI42" s="156"/>
      <c r="AJ42" s="156"/>
      <c r="AK42" s="156"/>
      <c r="AL42" s="156"/>
      <c r="AM42" s="156"/>
      <c r="AN42" s="4"/>
      <c r="AO42" s="4"/>
    </row>
    <row r="43" spans="1:41" s="35" customFormat="1" ht="18.75" customHeight="1">
      <c r="A43" s="157" t="s">
        <v>216</v>
      </c>
      <c r="B43" s="105"/>
      <c r="C43" s="152"/>
      <c r="D43" s="30">
        <v>12.3</v>
      </c>
      <c r="E43" s="155">
        <f t="shared" si="53"/>
        <v>18.087</v>
      </c>
      <c r="F43" s="155">
        <f t="shared" si="52"/>
        <v>18.919001999999999</v>
      </c>
      <c r="G43" s="155">
        <f t="shared" si="52"/>
        <v>20.621712179999999</v>
      </c>
      <c r="H43" s="155">
        <f t="shared" si="52"/>
        <v>21.178498408859998</v>
      </c>
      <c r="I43" s="155">
        <f t="shared" si="52"/>
        <v>21.623246875446057</v>
      </c>
      <c r="J43" s="155">
        <v>12.3</v>
      </c>
      <c r="K43" s="155">
        <v>18.087</v>
      </c>
      <c r="L43" s="155">
        <f>K43*1.046</f>
        <v>18.919001999999999</v>
      </c>
      <c r="M43" s="155">
        <f>L43*1.09</f>
        <v>20.621712179999999</v>
      </c>
      <c r="N43" s="155">
        <f>M43*1.027</f>
        <v>21.178498408859998</v>
      </c>
      <c r="O43" s="155">
        <f>N43*1.021</f>
        <v>21.623246875446057</v>
      </c>
      <c r="P43" s="155">
        <v>0.13</v>
      </c>
      <c r="Q43" s="155">
        <v>0.155</v>
      </c>
      <c r="R43" s="155"/>
      <c r="S43" s="155"/>
      <c r="T43" s="155"/>
      <c r="U43" s="155"/>
      <c r="V43" s="155">
        <v>11</v>
      </c>
      <c r="W43" s="155">
        <v>6</v>
      </c>
      <c r="X43" s="155">
        <v>6</v>
      </c>
      <c r="Y43" s="155">
        <v>7</v>
      </c>
      <c r="Z43" s="155">
        <v>8</v>
      </c>
      <c r="AA43" s="155">
        <v>8</v>
      </c>
      <c r="AB43" s="156">
        <f>(AH43*1000000/V43)/12</f>
        <v>5075.757575757576</v>
      </c>
      <c r="AC43" s="156">
        <f t="shared" ref="AC43:AD44" si="60">(AI43*1000000/W43)/12</f>
        <v>7277.7777777777774</v>
      </c>
      <c r="AD43" s="156">
        <f t="shared" si="60"/>
        <v>7750.833333333333</v>
      </c>
      <c r="AE43" s="207">
        <f t="shared" si="4"/>
        <v>8130.6241666666656</v>
      </c>
      <c r="AF43" s="207">
        <f t="shared" si="5"/>
        <v>8496.5022541666658</v>
      </c>
      <c r="AG43" s="207">
        <f t="shared" si="6"/>
        <v>8836.3623443333327</v>
      </c>
      <c r="AH43" s="156">
        <v>0.67</v>
      </c>
      <c r="AI43" s="156">
        <v>0.52400000000000002</v>
      </c>
      <c r="AJ43" s="156">
        <f t="shared" ref="AJ43" si="61">AI43*1.065</f>
        <v>0.55806</v>
      </c>
      <c r="AK43" s="156">
        <f>AE43*Y43*12/1000000</f>
        <v>0.68297242999999996</v>
      </c>
      <c r="AL43" s="156">
        <f t="shared" ref="AL43" si="62">AF43*Z43*12/1000000</f>
        <v>0.81566421639999986</v>
      </c>
      <c r="AM43" s="156">
        <f t="shared" ref="AM43" si="63">AG43*AA43*12/1000000</f>
        <v>0.84829078505599986</v>
      </c>
      <c r="AN43" s="4"/>
      <c r="AO43" s="4"/>
    </row>
    <row r="44" spans="1:41" s="35" customFormat="1" ht="47.25">
      <c r="A44" s="169" t="s">
        <v>10</v>
      </c>
      <c r="B44" s="161"/>
      <c r="C44" s="152"/>
      <c r="D44" s="154">
        <f t="shared" ref="D44:I44" si="64">SUM(D46:D47)</f>
        <v>8.75</v>
      </c>
      <c r="E44" s="154">
        <f t="shared" si="64"/>
        <v>6.8331</v>
      </c>
      <c r="F44" s="154">
        <f t="shared" si="64"/>
        <v>7.1610887999999999</v>
      </c>
      <c r="G44" s="154">
        <f t="shared" si="64"/>
        <v>7.5334654176000004</v>
      </c>
      <c r="H44" s="154">
        <f t="shared" si="64"/>
        <v>7.8498709651392007</v>
      </c>
      <c r="I44" s="154">
        <f t="shared" si="64"/>
        <v>0</v>
      </c>
      <c r="J44" s="154">
        <f t="shared" ref="J44:U44" si="65">SUM(J46:J47)</f>
        <v>8.75</v>
      </c>
      <c r="K44" s="154">
        <f t="shared" si="65"/>
        <v>6.8331</v>
      </c>
      <c r="L44" s="154">
        <f t="shared" si="65"/>
        <v>7.1610887999999999</v>
      </c>
      <c r="M44" s="154">
        <f t="shared" si="65"/>
        <v>7.5334654176000004</v>
      </c>
      <c r="N44" s="154">
        <f t="shared" si="65"/>
        <v>7.8498709651392007</v>
      </c>
      <c r="O44" s="154">
        <f t="shared" si="65"/>
        <v>0</v>
      </c>
      <c r="P44" s="162">
        <v>0</v>
      </c>
      <c r="Q44" s="162">
        <f t="shared" si="65"/>
        <v>3.85E-2</v>
      </c>
      <c r="R44" s="162">
        <f t="shared" si="65"/>
        <v>0</v>
      </c>
      <c r="S44" s="162">
        <f t="shared" si="65"/>
        <v>0</v>
      </c>
      <c r="T44" s="162">
        <f t="shared" si="65"/>
        <v>0</v>
      </c>
      <c r="U44" s="162">
        <f t="shared" si="65"/>
        <v>0</v>
      </c>
      <c r="V44" s="162">
        <f>SUM(V46:V47)</f>
        <v>5</v>
      </c>
      <c r="W44" s="162">
        <f t="shared" ref="W44:AA44" si="66">SUM(W46:W47)</f>
        <v>8</v>
      </c>
      <c r="X44" s="162">
        <f t="shared" si="66"/>
        <v>8</v>
      </c>
      <c r="Y44" s="162">
        <f t="shared" si="66"/>
        <v>8</v>
      </c>
      <c r="Z44" s="162">
        <f t="shared" si="66"/>
        <v>8</v>
      </c>
      <c r="AA44" s="162">
        <f t="shared" si="66"/>
        <v>8</v>
      </c>
      <c r="AB44" s="172">
        <f>(AH44*1000000/V44)/12</f>
        <v>7666.666666666667</v>
      </c>
      <c r="AC44" s="172">
        <f t="shared" si="60"/>
        <v>9108.3333333333339</v>
      </c>
      <c r="AD44" s="172">
        <f t="shared" si="60"/>
        <v>9700.375</v>
      </c>
      <c r="AE44" s="207">
        <f t="shared" si="4"/>
        <v>10175.693374999999</v>
      </c>
      <c r="AF44" s="207">
        <f t="shared" si="5"/>
        <v>10633.599576874998</v>
      </c>
      <c r="AG44" s="207">
        <f t="shared" si="6"/>
        <v>11058.943559949998</v>
      </c>
      <c r="AH44" s="172">
        <f>SUM(AH46:AH47)</f>
        <v>0.46</v>
      </c>
      <c r="AI44" s="172">
        <f t="shared" ref="AI44:AM44" si="67">SUM(AI46:AI47)</f>
        <v>0.87439999999999996</v>
      </c>
      <c r="AJ44" s="172">
        <f t="shared" si="67"/>
        <v>0.93123599999999995</v>
      </c>
      <c r="AK44" s="172">
        <f t="shared" si="67"/>
        <v>0.97686656399999994</v>
      </c>
      <c r="AL44" s="172">
        <f t="shared" si="67"/>
        <v>1.0208255593799997</v>
      </c>
      <c r="AM44" s="172">
        <f t="shared" si="67"/>
        <v>1.0616585817551998</v>
      </c>
      <c r="AN44" s="4"/>
      <c r="AO44" s="4"/>
    </row>
    <row r="45" spans="1:41" s="35" customFormat="1" ht="15.75" customHeight="1">
      <c r="A45" s="170" t="s">
        <v>95</v>
      </c>
      <c r="B45" s="164"/>
      <c r="C45" s="152"/>
      <c r="D45" s="30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6"/>
      <c r="AC45" s="156"/>
      <c r="AD45" s="156"/>
      <c r="AE45" s="207"/>
      <c r="AF45" s="207"/>
      <c r="AG45" s="207"/>
      <c r="AH45" s="156"/>
      <c r="AI45" s="156"/>
      <c r="AJ45" s="156"/>
      <c r="AK45" s="156"/>
      <c r="AL45" s="156"/>
      <c r="AM45" s="156"/>
      <c r="AN45" s="4"/>
      <c r="AO45" s="4"/>
    </row>
    <row r="46" spans="1:41" s="35" customFormat="1" ht="15.75" customHeight="1">
      <c r="A46" s="165" t="s">
        <v>217</v>
      </c>
      <c r="B46" s="166" t="s">
        <v>190</v>
      </c>
      <c r="C46" s="152"/>
      <c r="D46" s="30"/>
      <c r="E46" s="155"/>
      <c r="F46" s="155"/>
      <c r="G46" s="155"/>
      <c r="H46" s="155"/>
      <c r="I46" s="155"/>
      <c r="J46" s="155"/>
      <c r="K46" s="155">
        <v>0</v>
      </c>
      <c r="L46" s="155"/>
      <c r="M46" s="155"/>
      <c r="N46" s="155"/>
      <c r="O46" s="155"/>
      <c r="P46" s="155"/>
      <c r="Q46" s="155">
        <v>0</v>
      </c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6"/>
      <c r="AC46" s="156"/>
      <c r="AD46" s="156"/>
      <c r="AE46" s="207"/>
      <c r="AF46" s="207"/>
      <c r="AG46" s="207"/>
      <c r="AH46" s="156"/>
      <c r="AI46" s="156">
        <v>0</v>
      </c>
      <c r="AJ46" s="156"/>
      <c r="AK46" s="156"/>
      <c r="AL46" s="156"/>
      <c r="AM46" s="156"/>
      <c r="AN46" s="4"/>
      <c r="AO46" s="4"/>
    </row>
    <row r="47" spans="1:41" s="35" customFormat="1" ht="15.75">
      <c r="A47" s="157" t="s">
        <v>218</v>
      </c>
      <c r="B47" s="105"/>
      <c r="C47" s="152"/>
      <c r="D47" s="30">
        <v>8.75</v>
      </c>
      <c r="E47" s="155">
        <f t="shared" si="53"/>
        <v>6.8331</v>
      </c>
      <c r="F47" s="155">
        <f t="shared" si="52"/>
        <v>7.1610887999999999</v>
      </c>
      <c r="G47" s="155">
        <f t="shared" si="52"/>
        <v>7.5334654176000004</v>
      </c>
      <c r="H47" s="155">
        <f t="shared" si="52"/>
        <v>7.8498709651392007</v>
      </c>
      <c r="I47" s="155"/>
      <c r="J47" s="155">
        <v>8.75</v>
      </c>
      <c r="K47" s="155">
        <v>6.8331</v>
      </c>
      <c r="L47" s="155">
        <f>K47*1.048</f>
        <v>7.1610887999999999</v>
      </c>
      <c r="M47" s="155">
        <f>L47*1.052</f>
        <v>7.5334654176000004</v>
      </c>
      <c r="N47" s="155">
        <f>M47*1.042</f>
        <v>7.8498709651392007</v>
      </c>
      <c r="O47" s="155"/>
      <c r="P47" s="155">
        <v>-0.45</v>
      </c>
      <c r="Q47" s="155">
        <v>3.85E-2</v>
      </c>
      <c r="R47" s="155"/>
      <c r="S47" s="155"/>
      <c r="T47" s="155"/>
      <c r="U47" s="155"/>
      <c r="V47" s="155">
        <v>5</v>
      </c>
      <c r="W47" s="155">
        <v>8</v>
      </c>
      <c r="X47" s="155">
        <v>8</v>
      </c>
      <c r="Y47" s="155">
        <v>8</v>
      </c>
      <c r="Z47" s="155">
        <v>8</v>
      </c>
      <c r="AA47" s="155">
        <v>8</v>
      </c>
      <c r="AB47" s="156">
        <f>(AH47*1000000/V47)/12</f>
        <v>7666.666666666667</v>
      </c>
      <c r="AC47" s="156">
        <f t="shared" ref="AC47:AD49" si="68">(AI47*1000000/W47)/12</f>
        <v>9108.3333333333339</v>
      </c>
      <c r="AD47" s="156">
        <f t="shared" si="68"/>
        <v>9700.375</v>
      </c>
      <c r="AE47" s="207">
        <f t="shared" si="4"/>
        <v>10175.693374999999</v>
      </c>
      <c r="AF47" s="207">
        <f t="shared" si="5"/>
        <v>10633.599576874998</v>
      </c>
      <c r="AG47" s="207">
        <f t="shared" si="6"/>
        <v>11058.943559949998</v>
      </c>
      <c r="AH47" s="156">
        <v>0.46</v>
      </c>
      <c r="AI47" s="156">
        <v>0.87439999999999996</v>
      </c>
      <c r="AJ47" s="156">
        <f t="shared" ref="AJ47" si="69">AI47*1.065</f>
        <v>0.93123599999999995</v>
      </c>
      <c r="AK47" s="156">
        <f>AE47*Y47*12/1000000</f>
        <v>0.97686656399999994</v>
      </c>
      <c r="AL47" s="156">
        <f t="shared" ref="AL47" si="70">AF47*Z47*12/1000000</f>
        <v>1.0208255593799997</v>
      </c>
      <c r="AM47" s="156">
        <f t="shared" ref="AM47" si="71">AG47*AA47*12/1000000</f>
        <v>1.0616585817551998</v>
      </c>
      <c r="AN47" s="4"/>
      <c r="AO47" s="4"/>
    </row>
    <row r="48" spans="1:41" s="35" customFormat="1" ht="15.75">
      <c r="A48" s="205" t="s">
        <v>74</v>
      </c>
      <c r="B48" s="105"/>
      <c r="C48" s="152"/>
      <c r="D48" s="30"/>
      <c r="E48" s="155"/>
      <c r="F48" s="155"/>
      <c r="G48" s="155"/>
      <c r="H48" s="155"/>
      <c r="I48" s="155"/>
      <c r="J48" s="155"/>
      <c r="K48" s="155">
        <v>0</v>
      </c>
      <c r="L48" s="155"/>
      <c r="M48" s="155"/>
      <c r="N48" s="155"/>
      <c r="O48" s="155"/>
      <c r="P48" s="155"/>
      <c r="Q48" s="155">
        <v>0</v>
      </c>
      <c r="R48" s="155"/>
      <c r="S48" s="155"/>
      <c r="T48" s="155"/>
      <c r="U48" s="155"/>
      <c r="V48" s="162">
        <v>847</v>
      </c>
      <c r="W48" s="162">
        <v>711</v>
      </c>
      <c r="X48" s="162">
        <v>725</v>
      </c>
      <c r="Y48" s="162">
        <v>736</v>
      </c>
      <c r="Z48" s="162">
        <v>760</v>
      </c>
      <c r="AA48" s="162">
        <v>758</v>
      </c>
      <c r="AB48" s="172">
        <f>(AH48*1000000/V48)/12</f>
        <v>34112.554112554113</v>
      </c>
      <c r="AC48" s="172">
        <f t="shared" si="68"/>
        <v>48190.951711204871</v>
      </c>
      <c r="AD48" s="172">
        <f t="shared" si="68"/>
        <v>32908.04597701149</v>
      </c>
      <c r="AE48" s="172">
        <f t="shared" si="4"/>
        <v>34520.540229885053</v>
      </c>
      <c r="AF48" s="172">
        <f t="shared" si="5"/>
        <v>36073.964540229877</v>
      </c>
      <c r="AG48" s="172">
        <f t="shared" si="6"/>
        <v>37516.923121839071</v>
      </c>
      <c r="AH48" s="172">
        <v>346.72</v>
      </c>
      <c r="AI48" s="172">
        <v>411.16520000000003</v>
      </c>
      <c r="AJ48" s="172">
        <v>286.3</v>
      </c>
      <c r="AK48" s="172">
        <f t="shared" ref="AK48" si="72">AJ48*1.049</f>
        <v>300.32869999999997</v>
      </c>
      <c r="AL48" s="172">
        <f t="shared" ref="AL48" si="73">AK48*1.045</f>
        <v>313.84349149999997</v>
      </c>
      <c r="AM48" s="172">
        <f t="shared" ref="AM48" si="74">AL48*1.04</f>
        <v>326.39723115999999</v>
      </c>
      <c r="AN48" s="4"/>
      <c r="AO48" s="4"/>
    </row>
    <row r="49" spans="1:41" s="35" customFormat="1" ht="47.25">
      <c r="A49" s="110" t="s">
        <v>11</v>
      </c>
      <c r="B49" s="124"/>
      <c r="C49" s="152"/>
      <c r="D49" s="174">
        <f t="shared" ref="D49" si="75">SUM(D51:D58)</f>
        <v>288.7</v>
      </c>
      <c r="E49" s="174">
        <f t="shared" ref="E49:I49" si="76">SUM(E51:E58)</f>
        <v>277.07139999999998</v>
      </c>
      <c r="F49" s="174">
        <f t="shared" si="76"/>
        <v>283.60174879999994</v>
      </c>
      <c r="G49" s="174">
        <f t="shared" si="76"/>
        <v>295.23753372799996</v>
      </c>
      <c r="H49" s="174">
        <f t="shared" si="76"/>
        <v>312.67960294812798</v>
      </c>
      <c r="I49" s="174">
        <f t="shared" si="76"/>
        <v>324.48977528669002</v>
      </c>
      <c r="J49" s="162">
        <f>SUM(J51:J58)</f>
        <v>288.7</v>
      </c>
      <c r="K49" s="162">
        <f>SUM(K51:K58)</f>
        <v>277.07139999999998</v>
      </c>
      <c r="L49" s="162">
        <f t="shared" ref="L49:AM49" si="77">SUM(L51:L58)</f>
        <v>283.60174879999994</v>
      </c>
      <c r="M49" s="162">
        <f t="shared" si="77"/>
        <v>295.23753372799996</v>
      </c>
      <c r="N49" s="162">
        <f t="shared" si="77"/>
        <v>312.67960294812798</v>
      </c>
      <c r="O49" s="162">
        <f t="shared" si="77"/>
        <v>324.48977528669002</v>
      </c>
      <c r="P49" s="154">
        <f t="shared" si="77"/>
        <v>30.85</v>
      </c>
      <c r="Q49" s="154">
        <f t="shared" si="77"/>
        <v>11.023399999999999</v>
      </c>
      <c r="R49" s="154">
        <f t="shared" si="77"/>
        <v>9.2758977999999974</v>
      </c>
      <c r="S49" s="154">
        <f t="shared" si="77"/>
        <v>9.7983716679999997</v>
      </c>
      <c r="T49" s="154">
        <f t="shared" si="77"/>
        <v>10.383196623068001</v>
      </c>
      <c r="U49" s="154">
        <f t="shared" si="77"/>
        <v>10.949400864352194</v>
      </c>
      <c r="V49" s="154">
        <f t="shared" si="77"/>
        <v>474</v>
      </c>
      <c r="W49" s="154">
        <f t="shared" si="77"/>
        <v>396</v>
      </c>
      <c r="X49" s="154">
        <f t="shared" si="77"/>
        <v>374</v>
      </c>
      <c r="Y49" s="154">
        <f t="shared" si="77"/>
        <v>376</v>
      </c>
      <c r="Z49" s="154">
        <f t="shared" si="77"/>
        <v>373</v>
      </c>
      <c r="AA49" s="154">
        <f t="shared" si="77"/>
        <v>372</v>
      </c>
      <c r="AB49" s="159">
        <f>(AH49*1000000/V49)/12</f>
        <v>23892.405063291139</v>
      </c>
      <c r="AC49" s="159">
        <f t="shared" si="68"/>
        <v>28401.283670033667</v>
      </c>
      <c r="AD49" s="159">
        <f t="shared" si="68"/>
        <v>28677.401626559717</v>
      </c>
      <c r="AE49" s="159">
        <f t="shared" si="4"/>
        <v>30082.59430626114</v>
      </c>
      <c r="AF49" s="159">
        <f t="shared" si="5"/>
        <v>31436.311050042888</v>
      </c>
      <c r="AG49" s="159">
        <f t="shared" si="6"/>
        <v>32693.763492044603</v>
      </c>
      <c r="AH49" s="159">
        <f t="shared" ref="AH49" si="78">SUM(AH51:AH58)</f>
        <v>135.9</v>
      </c>
      <c r="AI49" s="159">
        <f t="shared" si="77"/>
        <v>134.96289999999999</v>
      </c>
      <c r="AJ49" s="159">
        <f t="shared" si="77"/>
        <v>128.70417850000001</v>
      </c>
      <c r="AK49" s="159">
        <f t="shared" si="77"/>
        <v>136.47070158384955</v>
      </c>
      <c r="AL49" s="159">
        <f t="shared" si="77"/>
        <v>139.75901818649737</v>
      </c>
      <c r="AM49" s="159">
        <f t="shared" si="77"/>
        <v>145.05736804603998</v>
      </c>
      <c r="AN49" s="4"/>
      <c r="AO49" s="4"/>
    </row>
    <row r="50" spans="1:41" s="35" customFormat="1" ht="15.75" customHeight="1">
      <c r="A50" s="152" t="s">
        <v>95</v>
      </c>
      <c r="B50" s="175"/>
      <c r="C50" s="152"/>
      <c r="D50" s="30"/>
      <c r="E50" s="30"/>
      <c r="F50" s="30"/>
      <c r="G50" s="30"/>
      <c r="H50" s="30"/>
      <c r="I50" s="30"/>
      <c r="J50" s="155"/>
      <c r="K50" s="155"/>
      <c r="L50" s="155"/>
      <c r="M50" s="155"/>
      <c r="N50" s="155"/>
      <c r="O50" s="155"/>
      <c r="P50" s="155"/>
      <c r="Q50" s="155">
        <f>Q51+Q54+Q56+Q57</f>
        <v>3.0714000000000001</v>
      </c>
      <c r="R50" s="155">
        <f t="shared" ref="R50:U50" si="79">R51+R54+R56+R57</f>
        <v>3.3078978000000001</v>
      </c>
      <c r="S50" s="155">
        <f t="shared" si="79"/>
        <v>3.5063716679999999</v>
      </c>
      <c r="T50" s="155">
        <f t="shared" si="79"/>
        <v>3.6851966230679993</v>
      </c>
      <c r="U50" s="155">
        <f t="shared" si="79"/>
        <v>3.8584008643521952</v>
      </c>
      <c r="V50" s="155"/>
      <c r="W50" s="155"/>
      <c r="X50" s="155"/>
      <c r="Y50" s="155"/>
      <c r="Z50" s="155"/>
      <c r="AA50" s="155"/>
      <c r="AB50" s="156"/>
      <c r="AC50" s="156"/>
      <c r="AD50" s="156"/>
      <c r="AE50" s="207"/>
      <c r="AF50" s="207"/>
      <c r="AG50" s="207"/>
      <c r="AH50" s="156"/>
      <c r="AI50" s="156"/>
      <c r="AJ50" s="156"/>
      <c r="AK50" s="156"/>
      <c r="AL50" s="156"/>
      <c r="AM50" s="156"/>
      <c r="AN50" s="4"/>
      <c r="AO50" s="4"/>
    </row>
    <row r="51" spans="1:41" s="35" customFormat="1" ht="15.75">
      <c r="A51" s="157" t="s">
        <v>219</v>
      </c>
      <c r="B51" s="105"/>
      <c r="C51" s="152"/>
      <c r="D51" s="30">
        <v>36.700000000000003</v>
      </c>
      <c r="E51" s="155">
        <f>K51</f>
        <v>35.792400000000001</v>
      </c>
      <c r="F51" s="155">
        <f t="shared" ref="F51:I57" si="80">L51</f>
        <v>38.548414799999996</v>
      </c>
      <c r="G51" s="155">
        <f t="shared" si="80"/>
        <v>40.861319687999995</v>
      </c>
      <c r="H51" s="155">
        <f t="shared" si="80"/>
        <v>42.945246992087995</v>
      </c>
      <c r="I51" s="155">
        <f t="shared" si="80"/>
        <v>44.963673600716128</v>
      </c>
      <c r="J51" s="155">
        <v>36.700000000000003</v>
      </c>
      <c r="K51" s="155">
        <v>35.792400000000001</v>
      </c>
      <c r="L51" s="155">
        <f>K51*1.077</f>
        <v>38.548414799999996</v>
      </c>
      <c r="M51" s="155">
        <f>L51*1.06</f>
        <v>40.861319687999995</v>
      </c>
      <c r="N51" s="155">
        <f>M51*1.051</f>
        <v>42.945246992087995</v>
      </c>
      <c r="O51" s="155">
        <f>N51*1.047</f>
        <v>44.963673600716128</v>
      </c>
      <c r="P51" s="155">
        <v>2.4</v>
      </c>
      <c r="Q51" s="155">
        <v>1.7163999999999999</v>
      </c>
      <c r="R51" s="155">
        <f>Q51*1.077</f>
        <v>1.8485627999999998</v>
      </c>
      <c r="S51" s="155">
        <f>R51*1.06</f>
        <v>1.9594765679999999</v>
      </c>
      <c r="T51" s="155">
        <f>S51*1.051</f>
        <v>2.0594098729679997</v>
      </c>
      <c r="U51" s="155">
        <f>T51*1.047</f>
        <v>2.1562021369974955</v>
      </c>
      <c r="V51" s="155">
        <v>57</v>
      </c>
      <c r="W51" s="155">
        <v>67</v>
      </c>
      <c r="X51" s="155">
        <v>67</v>
      </c>
      <c r="Y51" s="155">
        <v>67</v>
      </c>
      <c r="Z51" s="155">
        <v>67</v>
      </c>
      <c r="AA51" s="155">
        <v>67</v>
      </c>
      <c r="AB51" s="156">
        <f>(AH51*1000000/V51)/12</f>
        <v>21374.269005847953</v>
      </c>
      <c r="AC51" s="156">
        <f t="shared" ref="AC51:AD51" si="81">(AI51*1000000/W51)/12</f>
        <v>19892.661691542289</v>
      </c>
      <c r="AD51" s="156">
        <f t="shared" si="81"/>
        <v>21185.684701492537</v>
      </c>
      <c r="AE51" s="207">
        <f t="shared" si="4"/>
        <v>22223.783251865669</v>
      </c>
      <c r="AF51" s="207">
        <f t="shared" si="5"/>
        <v>23223.853498199624</v>
      </c>
      <c r="AG51" s="207">
        <f t="shared" si="6"/>
        <v>24152.807638127608</v>
      </c>
      <c r="AH51" s="156">
        <v>14.62</v>
      </c>
      <c r="AI51" s="156">
        <v>15.9937</v>
      </c>
      <c r="AJ51" s="156">
        <f t="shared" ref="AJ51" si="82">AI51*1.065</f>
        <v>17.0332905</v>
      </c>
      <c r="AK51" s="156">
        <f>AE51*Y51*12/1000000</f>
        <v>17.867921734499998</v>
      </c>
      <c r="AL51" s="156">
        <f t="shared" ref="AL51" si="83">AF51*Z51*12/1000000</f>
        <v>18.671978212552499</v>
      </c>
      <c r="AM51" s="156">
        <f t="shared" ref="AM51" si="84">AG51*AA51*12/1000000</f>
        <v>19.418857341054597</v>
      </c>
      <c r="AN51" s="4"/>
      <c r="AO51" s="4"/>
    </row>
    <row r="52" spans="1:41" s="35" customFormat="1" ht="15.75">
      <c r="A52" s="157" t="s">
        <v>220</v>
      </c>
      <c r="B52" s="105" t="s">
        <v>190</v>
      </c>
      <c r="C52" s="152"/>
      <c r="D52" s="30"/>
      <c r="E52" s="155">
        <f t="shared" ref="E52:E57" si="85">K52</f>
        <v>0</v>
      </c>
      <c r="F52" s="155">
        <f t="shared" si="80"/>
        <v>0</v>
      </c>
      <c r="G52" s="155">
        <f t="shared" si="80"/>
        <v>0</v>
      </c>
      <c r="H52" s="155">
        <f t="shared" si="80"/>
        <v>0</v>
      </c>
      <c r="I52" s="155">
        <f t="shared" si="80"/>
        <v>0</v>
      </c>
      <c r="J52" s="155"/>
      <c r="K52" s="155">
        <v>0</v>
      </c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6"/>
      <c r="AC52" s="156"/>
      <c r="AD52" s="156"/>
      <c r="AE52" s="207"/>
      <c r="AF52" s="207"/>
      <c r="AG52" s="207"/>
      <c r="AH52" s="156"/>
      <c r="AI52" s="156"/>
      <c r="AJ52" s="156"/>
      <c r="AK52" s="156"/>
      <c r="AL52" s="156"/>
      <c r="AM52" s="156"/>
      <c r="AN52" s="4"/>
      <c r="AO52" s="4"/>
    </row>
    <row r="53" spans="1:41" s="35" customFormat="1" ht="15.75">
      <c r="A53" s="167" t="s">
        <v>221</v>
      </c>
      <c r="B53" s="105"/>
      <c r="C53" s="152"/>
      <c r="D53" s="30">
        <v>86.7</v>
      </c>
      <c r="E53" s="155">
        <f t="shared" si="85"/>
        <v>84.522000000000006</v>
      </c>
      <c r="F53" s="155">
        <f t="shared" si="80"/>
        <v>85.364000000000004</v>
      </c>
      <c r="G53" s="155">
        <f t="shared" si="80"/>
        <v>85.8</v>
      </c>
      <c r="H53" s="155">
        <f t="shared" si="80"/>
        <v>93</v>
      </c>
      <c r="I53" s="155">
        <f t="shared" si="80"/>
        <v>95.1</v>
      </c>
      <c r="J53" s="155">
        <v>86.7</v>
      </c>
      <c r="K53" s="155">
        <v>84.522000000000006</v>
      </c>
      <c r="L53" s="155">
        <v>85.364000000000004</v>
      </c>
      <c r="M53" s="155">
        <v>85.8</v>
      </c>
      <c r="N53" s="155">
        <v>93</v>
      </c>
      <c r="O53" s="155">
        <v>95.1</v>
      </c>
      <c r="P53" s="155">
        <v>1.55</v>
      </c>
      <c r="Q53" s="155">
        <v>2.0369999999999999</v>
      </c>
      <c r="R53" s="155">
        <v>1.9</v>
      </c>
      <c r="S53" s="155">
        <v>2</v>
      </c>
      <c r="T53" s="155">
        <v>2.2000000000000002</v>
      </c>
      <c r="U53" s="155">
        <v>2.4</v>
      </c>
      <c r="V53" s="155">
        <v>96</v>
      </c>
      <c r="W53" s="155">
        <v>108</v>
      </c>
      <c r="X53" s="155">
        <v>116</v>
      </c>
      <c r="Y53" s="155">
        <v>117</v>
      </c>
      <c r="Z53" s="155">
        <v>118</v>
      </c>
      <c r="AA53" s="155">
        <v>117</v>
      </c>
      <c r="AB53" s="156">
        <f>(AH53*1000000/V53)/12</f>
        <v>15625</v>
      </c>
      <c r="AC53" s="156">
        <f t="shared" ref="AC53:AD56" si="86">(AI53*1000000/W53)/12</f>
        <v>22209.876543209877</v>
      </c>
      <c r="AD53" s="156">
        <f t="shared" si="86"/>
        <v>21344.827586206895</v>
      </c>
      <c r="AE53" s="207">
        <f t="shared" si="4"/>
        <v>22390.724137931033</v>
      </c>
      <c r="AF53" s="207">
        <f t="shared" si="5"/>
        <v>23398.306724137929</v>
      </c>
      <c r="AG53" s="207">
        <f t="shared" si="6"/>
        <v>24334.238993103445</v>
      </c>
      <c r="AH53" s="156">
        <v>18</v>
      </c>
      <c r="AI53" s="156">
        <v>28.783999999999999</v>
      </c>
      <c r="AJ53" s="156">
        <v>29.712</v>
      </c>
      <c r="AK53" s="156">
        <f t="shared" ref="AK53:AK58" si="87">AE53*Y53*12/1000000</f>
        <v>31.436576689655169</v>
      </c>
      <c r="AL53" s="156">
        <f t="shared" ref="AL53:AL58" si="88">AF53*Z53*12/1000000</f>
        <v>33.132002321379311</v>
      </c>
      <c r="AM53" s="156">
        <f t="shared" ref="AM53:AM58" si="89">AG53*AA53*12/1000000</f>
        <v>34.165271546317236</v>
      </c>
      <c r="AN53" s="4"/>
      <c r="AO53" s="4"/>
    </row>
    <row r="54" spans="1:41" s="35" customFormat="1" ht="15.75">
      <c r="A54" s="157" t="s">
        <v>222</v>
      </c>
      <c r="B54" s="105"/>
      <c r="C54" s="152"/>
      <c r="D54" s="30">
        <v>9.6</v>
      </c>
      <c r="E54" s="155">
        <f t="shared" si="85"/>
        <v>14.166</v>
      </c>
      <c r="F54" s="155">
        <f t="shared" si="80"/>
        <v>15.256781999999999</v>
      </c>
      <c r="G54" s="155">
        <f t="shared" si="80"/>
        <v>16.17218892</v>
      </c>
      <c r="H54" s="155">
        <f t="shared" si="80"/>
        <v>16.996970554919997</v>
      </c>
      <c r="I54" s="155">
        <f t="shared" si="80"/>
        <v>17.795828171001236</v>
      </c>
      <c r="J54" s="155">
        <v>9.6</v>
      </c>
      <c r="K54" s="155">
        <v>14.166</v>
      </c>
      <c r="L54" s="155">
        <f>K54*1.077</f>
        <v>15.256781999999999</v>
      </c>
      <c r="M54" s="155">
        <f>L54*1.06</f>
        <v>16.17218892</v>
      </c>
      <c r="N54" s="155">
        <f>M54*1.051</f>
        <v>16.996970554919997</v>
      </c>
      <c r="O54" s="155">
        <f>N54*1.047</f>
        <v>17.795828171001236</v>
      </c>
      <c r="P54" s="155">
        <v>0.1</v>
      </c>
      <c r="Q54" s="155">
        <v>1.1140000000000001</v>
      </c>
      <c r="R54" s="155">
        <f>Q54*1.077</f>
        <v>1.199778</v>
      </c>
      <c r="S54" s="155">
        <f>R54*1.06</f>
        <v>1.27176468</v>
      </c>
      <c r="T54" s="155">
        <f>S54*1.051</f>
        <v>1.3366246786799998</v>
      </c>
      <c r="U54" s="155">
        <f>T54*1.047</f>
        <v>1.3994460385779597</v>
      </c>
      <c r="V54" s="155">
        <v>44</v>
      </c>
      <c r="W54" s="155">
        <v>45</v>
      </c>
      <c r="X54" s="155">
        <v>42</v>
      </c>
      <c r="Y54" s="155">
        <v>42</v>
      </c>
      <c r="Z54" s="155">
        <v>42</v>
      </c>
      <c r="AA54" s="155">
        <v>42</v>
      </c>
      <c r="AB54" s="156">
        <f>(AH54*1000000/V54)/12</f>
        <v>12821.969696969696</v>
      </c>
      <c r="AC54" s="156">
        <f t="shared" si="86"/>
        <v>14907.407407407409</v>
      </c>
      <c r="AD54" s="156">
        <f t="shared" si="86"/>
        <v>17010.416666666668</v>
      </c>
      <c r="AE54" s="207">
        <f t="shared" si="4"/>
        <v>17843.927083333332</v>
      </c>
      <c r="AF54" s="207">
        <f t="shared" si="5"/>
        <v>18646.903802083332</v>
      </c>
      <c r="AG54" s="207">
        <f t="shared" si="6"/>
        <v>19392.779954166665</v>
      </c>
      <c r="AH54" s="156">
        <v>6.77</v>
      </c>
      <c r="AI54" s="156">
        <v>8.0500000000000007</v>
      </c>
      <c r="AJ54" s="156">
        <f t="shared" ref="AJ54" si="90">AI54*1.065</f>
        <v>8.5732499999999998</v>
      </c>
      <c r="AK54" s="156">
        <f t="shared" si="87"/>
        <v>8.99333925</v>
      </c>
      <c r="AL54" s="156">
        <f t="shared" si="88"/>
        <v>9.3980395162499999</v>
      </c>
      <c r="AM54" s="156">
        <f t="shared" si="89"/>
        <v>9.773961096899999</v>
      </c>
      <c r="AN54" s="4"/>
      <c r="AO54" s="4"/>
    </row>
    <row r="55" spans="1:41" s="35" customFormat="1" ht="15.75">
      <c r="A55" s="157" t="s">
        <v>223</v>
      </c>
      <c r="B55" s="105"/>
      <c r="C55" s="152"/>
      <c r="D55" s="30">
        <v>152</v>
      </c>
      <c r="E55" s="155">
        <f t="shared" si="85"/>
        <v>137.41499999999999</v>
      </c>
      <c r="F55" s="155">
        <f t="shared" si="80"/>
        <v>138.858</v>
      </c>
      <c r="G55" s="155">
        <f t="shared" si="80"/>
        <v>146.495</v>
      </c>
      <c r="H55" s="155">
        <f t="shared" si="80"/>
        <v>153.52699999999999</v>
      </c>
      <c r="I55" s="155">
        <f t="shared" si="80"/>
        <v>160.12799999999999</v>
      </c>
      <c r="J55" s="155">
        <v>152</v>
      </c>
      <c r="K55" s="155">
        <v>137.41499999999999</v>
      </c>
      <c r="L55" s="155">
        <v>138.858</v>
      </c>
      <c r="M55" s="155">
        <v>146.495</v>
      </c>
      <c r="N55" s="155">
        <v>153.52699999999999</v>
      </c>
      <c r="O55" s="155">
        <v>160.12799999999999</v>
      </c>
      <c r="P55" s="155">
        <v>25.5</v>
      </c>
      <c r="Q55" s="155">
        <v>5.915</v>
      </c>
      <c r="R55" s="155">
        <v>4.0679999999999996</v>
      </c>
      <c r="S55" s="155">
        <v>4.2919999999999998</v>
      </c>
      <c r="T55" s="155">
        <v>4.4980000000000002</v>
      </c>
      <c r="U55" s="155">
        <v>4.6909999999999998</v>
      </c>
      <c r="V55" s="155">
        <v>70</v>
      </c>
      <c r="W55" s="155">
        <v>70</v>
      </c>
      <c r="X55" s="155">
        <v>71</v>
      </c>
      <c r="Y55" s="155">
        <v>70</v>
      </c>
      <c r="Z55" s="155">
        <v>70</v>
      </c>
      <c r="AA55" s="155">
        <v>70</v>
      </c>
      <c r="AB55" s="156">
        <f>(AH55*1000000/V55)/12</f>
        <v>18095.238095238095</v>
      </c>
      <c r="AC55" s="156">
        <f t="shared" si="86"/>
        <v>17964.285714285714</v>
      </c>
      <c r="AD55" s="156">
        <f t="shared" si="86"/>
        <v>24469.483568075117</v>
      </c>
      <c r="AE55" s="207">
        <f t="shared" si="4"/>
        <v>25668.488262910796</v>
      </c>
      <c r="AF55" s="207">
        <f t="shared" si="5"/>
        <v>26823.570234741779</v>
      </c>
      <c r="AG55" s="207">
        <f t="shared" si="6"/>
        <v>27896.51304413145</v>
      </c>
      <c r="AH55" s="156">
        <v>15.2</v>
      </c>
      <c r="AI55" s="156">
        <v>15.09</v>
      </c>
      <c r="AJ55" s="156">
        <v>20.847999999999999</v>
      </c>
      <c r="AK55" s="156">
        <f t="shared" si="87"/>
        <v>21.561530140845068</v>
      </c>
      <c r="AL55" s="156">
        <f t="shared" si="88"/>
        <v>22.531798997183095</v>
      </c>
      <c r="AM55" s="156">
        <f t="shared" si="89"/>
        <v>23.433070957070417</v>
      </c>
      <c r="AN55" s="4"/>
      <c r="AO55" s="4"/>
    </row>
    <row r="56" spans="1:41" s="35" customFormat="1" ht="15.75">
      <c r="A56" s="108" t="s">
        <v>224</v>
      </c>
      <c r="B56" s="105"/>
      <c r="C56" s="152"/>
      <c r="D56" s="30">
        <v>3.7</v>
      </c>
      <c r="E56" s="155">
        <f t="shared" si="85"/>
        <v>3.032</v>
      </c>
      <c r="F56" s="155">
        <f t="shared" si="80"/>
        <v>3.2654639999999997</v>
      </c>
      <c r="G56" s="155">
        <f t="shared" si="80"/>
        <v>3.4613918399999997</v>
      </c>
      <c r="H56" s="155">
        <f t="shared" si="80"/>
        <v>3.6379228238399994</v>
      </c>
      <c r="I56" s="155">
        <f t="shared" si="80"/>
        <v>3.8089051965604792</v>
      </c>
      <c r="J56" s="155">
        <v>3.7</v>
      </c>
      <c r="K56" s="155">
        <v>3.032</v>
      </c>
      <c r="L56" s="155">
        <f>K56*1.077</f>
        <v>3.2654639999999997</v>
      </c>
      <c r="M56" s="155">
        <f>L56*1.06</f>
        <v>3.4613918399999997</v>
      </c>
      <c r="N56" s="155">
        <f>M56*1.051</f>
        <v>3.6379228238399994</v>
      </c>
      <c r="O56" s="155">
        <f>N56*1.047</f>
        <v>3.8089051965604792</v>
      </c>
      <c r="P56" s="155">
        <v>1.3</v>
      </c>
      <c r="Q56" s="155">
        <v>0</v>
      </c>
      <c r="R56" s="155">
        <f>Q56*1.077</f>
        <v>0</v>
      </c>
      <c r="S56" s="155">
        <f>R56*1.06</f>
        <v>0</v>
      </c>
      <c r="T56" s="155">
        <f>S56*1.051</f>
        <v>0</v>
      </c>
      <c r="U56" s="155">
        <f>T56*1.047</f>
        <v>0</v>
      </c>
      <c r="V56" s="155">
        <v>3</v>
      </c>
      <c r="W56" s="155">
        <v>3</v>
      </c>
      <c r="X56" s="155">
        <v>3</v>
      </c>
      <c r="Y56" s="155">
        <v>3</v>
      </c>
      <c r="Z56" s="155">
        <v>3</v>
      </c>
      <c r="AA56" s="155">
        <v>3</v>
      </c>
      <c r="AB56" s="156">
        <f>(AH56*1000000/V56)/12</f>
        <v>7777.7777777777774</v>
      </c>
      <c r="AC56" s="156">
        <f t="shared" si="86"/>
        <v>7000</v>
      </c>
      <c r="AD56" s="156">
        <f t="shared" si="86"/>
        <v>7455</v>
      </c>
      <c r="AE56" s="207">
        <f t="shared" si="4"/>
        <v>7820.2949999999992</v>
      </c>
      <c r="AF56" s="207">
        <f t="shared" si="5"/>
        <v>8172.2082749999981</v>
      </c>
      <c r="AG56" s="207">
        <f t="shared" si="6"/>
        <v>8499.0966059999992</v>
      </c>
      <c r="AH56" s="156">
        <v>0.28000000000000003</v>
      </c>
      <c r="AI56" s="156">
        <v>0.252</v>
      </c>
      <c r="AJ56" s="156">
        <f t="shared" ref="AJ56:AJ57" si="91">AI56*1.065</f>
        <v>0.26838000000000001</v>
      </c>
      <c r="AK56" s="156">
        <f t="shared" si="87"/>
        <v>0.28153062000000001</v>
      </c>
      <c r="AL56" s="156">
        <f t="shared" si="88"/>
        <v>0.29419949789999994</v>
      </c>
      <c r="AM56" s="156">
        <f t="shared" si="89"/>
        <v>0.30596747781599998</v>
      </c>
      <c r="AN56" s="4"/>
      <c r="AO56" s="4"/>
    </row>
    <row r="57" spans="1:41" s="35" customFormat="1" ht="15.75">
      <c r="A57" s="157" t="s">
        <v>225</v>
      </c>
      <c r="B57" s="105"/>
      <c r="C57" s="152"/>
      <c r="D57" s="30"/>
      <c r="E57" s="155">
        <f t="shared" si="85"/>
        <v>2.1440000000000001</v>
      </c>
      <c r="F57" s="155">
        <f t="shared" si="80"/>
        <v>2.309088</v>
      </c>
      <c r="G57" s="155">
        <f t="shared" si="80"/>
        <v>2.4476332800000002</v>
      </c>
      <c r="H57" s="155">
        <f t="shared" si="80"/>
        <v>2.5724625772800001</v>
      </c>
      <c r="I57" s="155">
        <f t="shared" si="80"/>
        <v>2.6933683184121597</v>
      </c>
      <c r="J57" s="155"/>
      <c r="K57" s="155">
        <v>2.1440000000000001</v>
      </c>
      <c r="L57" s="155">
        <f>K57*1.077</f>
        <v>2.309088</v>
      </c>
      <c r="M57" s="155">
        <f>L57*1.06</f>
        <v>2.4476332800000002</v>
      </c>
      <c r="N57" s="155">
        <f>M57*1.051</f>
        <v>2.5724625772800001</v>
      </c>
      <c r="O57" s="155">
        <f>N57*1.047</f>
        <v>2.6933683184121597</v>
      </c>
      <c r="P57" s="155"/>
      <c r="Q57" s="155">
        <v>0.24099999999999999</v>
      </c>
      <c r="R57" s="155">
        <f>Q57*1.077</f>
        <v>0.25955699999999998</v>
      </c>
      <c r="S57" s="155">
        <f>R57*1.06</f>
        <v>0.27513041999999999</v>
      </c>
      <c r="T57" s="155">
        <f>S57*1.051</f>
        <v>0.28916207141999994</v>
      </c>
      <c r="U57" s="155">
        <f>T57*1.047</f>
        <v>0.30275268877673994</v>
      </c>
      <c r="V57" s="155"/>
      <c r="W57" s="155">
        <v>2</v>
      </c>
      <c r="X57" s="155">
        <v>2</v>
      </c>
      <c r="Y57" s="155">
        <v>2</v>
      </c>
      <c r="Z57" s="155">
        <v>2</v>
      </c>
      <c r="AA57" s="155">
        <v>2</v>
      </c>
      <c r="AB57" s="156"/>
      <c r="AC57" s="156">
        <f t="shared" ref="AC57" si="92">(AI57*1000000/W57)/12</f>
        <v>3883.3333333333335</v>
      </c>
      <c r="AD57" s="156">
        <f t="shared" ref="AD57:AD58" si="93">(AJ57*1000000/X57)/12</f>
        <v>4135.75</v>
      </c>
      <c r="AE57" s="207">
        <f t="shared" si="4"/>
        <v>4338.40175</v>
      </c>
      <c r="AF57" s="207">
        <f t="shared" si="5"/>
        <v>4533.6298287499994</v>
      </c>
      <c r="AG57" s="207">
        <f t="shared" si="6"/>
        <v>4714.9750218999998</v>
      </c>
      <c r="AH57" s="156"/>
      <c r="AI57" s="156">
        <v>9.3200000000000005E-2</v>
      </c>
      <c r="AJ57" s="156">
        <f t="shared" si="91"/>
        <v>9.9257999999999999E-2</v>
      </c>
      <c r="AK57" s="156">
        <f t="shared" si="87"/>
        <v>0.10412164199999999</v>
      </c>
      <c r="AL57" s="156">
        <f t="shared" si="88"/>
        <v>0.10880711588999999</v>
      </c>
      <c r="AM57" s="156">
        <f t="shared" si="89"/>
        <v>0.1131594005256</v>
      </c>
      <c r="AN57" s="4"/>
      <c r="AO57" s="4"/>
    </row>
    <row r="58" spans="1:41" s="35" customFormat="1" ht="15.75">
      <c r="A58" s="157" t="s">
        <v>74</v>
      </c>
      <c r="B58" s="105"/>
      <c r="C58" s="152"/>
      <c r="D58" s="30"/>
      <c r="E58" s="30"/>
      <c r="F58" s="30"/>
      <c r="G58" s="30"/>
      <c r="H58" s="30"/>
      <c r="I58" s="30"/>
      <c r="J58" s="155"/>
      <c r="K58" s="155">
        <v>0</v>
      </c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>
        <v>204</v>
      </c>
      <c r="W58" s="155">
        <v>101</v>
      </c>
      <c r="X58" s="155">
        <v>73</v>
      </c>
      <c r="Y58" s="155">
        <v>75</v>
      </c>
      <c r="Z58" s="155">
        <v>71</v>
      </c>
      <c r="AA58" s="155">
        <v>71</v>
      </c>
      <c r="AB58" s="156">
        <f>(AH58*1000000/V58)/12</f>
        <v>33100.490196078434</v>
      </c>
      <c r="AC58" s="156">
        <f t="shared" ref="AC58:AD59" si="94">(AI58*1000000/W58)/12</f>
        <v>55033.003300330027</v>
      </c>
      <c r="AD58" s="156">
        <f t="shared" si="93"/>
        <v>59554.794520547941</v>
      </c>
      <c r="AE58" s="207">
        <f t="shared" si="4"/>
        <v>62472.979452054788</v>
      </c>
      <c r="AF58" s="207">
        <f t="shared" si="5"/>
        <v>65284.263527397248</v>
      </c>
      <c r="AG58" s="207">
        <f t="shared" si="6"/>
        <v>67895.634068493135</v>
      </c>
      <c r="AH58" s="156">
        <v>81.03</v>
      </c>
      <c r="AI58" s="156">
        <v>66.7</v>
      </c>
      <c r="AJ58" s="156">
        <v>52.17</v>
      </c>
      <c r="AK58" s="156">
        <f t="shared" si="87"/>
        <v>56.225681506849305</v>
      </c>
      <c r="AL58" s="156">
        <f t="shared" si="88"/>
        <v>55.622192525342456</v>
      </c>
      <c r="AM58" s="156">
        <f t="shared" si="89"/>
        <v>57.847080226356155</v>
      </c>
      <c r="AN58" s="4"/>
      <c r="AO58" s="4"/>
    </row>
    <row r="59" spans="1:41" s="35" customFormat="1" ht="15.75" customHeight="1">
      <c r="A59" s="110" t="s">
        <v>12</v>
      </c>
      <c r="B59" s="124"/>
      <c r="C59" s="152"/>
      <c r="D59" s="162">
        <f t="shared" ref="D59" si="95">SUM(D61:D71)</f>
        <v>0</v>
      </c>
      <c r="E59" s="162">
        <f>SUM(E61:E71)</f>
        <v>0</v>
      </c>
      <c r="F59" s="162">
        <f t="shared" ref="F59:J59" si="96">SUM(F61:F71)</f>
        <v>0</v>
      </c>
      <c r="G59" s="162">
        <f t="shared" si="96"/>
        <v>0</v>
      </c>
      <c r="H59" s="162">
        <f t="shared" si="96"/>
        <v>0</v>
      </c>
      <c r="I59" s="162">
        <f t="shared" si="96"/>
        <v>0</v>
      </c>
      <c r="J59" s="162">
        <f t="shared" si="96"/>
        <v>23.6</v>
      </c>
      <c r="K59" s="162">
        <f>SUM(K61:K71)</f>
        <v>35.684000000000005</v>
      </c>
      <c r="L59" s="162">
        <f t="shared" ref="L59:AM59" si="97">SUM(L61:L71)</f>
        <v>37.075676000000001</v>
      </c>
      <c r="M59" s="162">
        <f t="shared" si="97"/>
        <v>38.632854391999999</v>
      </c>
      <c r="N59" s="162">
        <f t="shared" si="97"/>
        <v>40.757661383559999</v>
      </c>
      <c r="O59" s="162">
        <f t="shared" si="97"/>
        <v>42.387967838902405</v>
      </c>
      <c r="P59" s="154">
        <f t="shared" si="97"/>
        <v>1.3</v>
      </c>
      <c r="Q59" s="154">
        <f t="shared" si="97"/>
        <v>1.2959999999999998</v>
      </c>
      <c r="R59" s="154">
        <f t="shared" si="97"/>
        <v>1.346544</v>
      </c>
      <c r="S59" s="154">
        <f t="shared" si="97"/>
        <v>1.403098848</v>
      </c>
      <c r="T59" s="154">
        <f t="shared" si="97"/>
        <v>1.4802692846399998</v>
      </c>
      <c r="U59" s="154">
        <f t="shared" si="97"/>
        <v>1.5394800560255999</v>
      </c>
      <c r="V59" s="154">
        <f t="shared" si="97"/>
        <v>304</v>
      </c>
      <c r="W59" s="154">
        <f t="shared" si="97"/>
        <v>123</v>
      </c>
      <c r="X59" s="154">
        <f t="shared" si="97"/>
        <v>97</v>
      </c>
      <c r="Y59" s="154">
        <f t="shared" si="97"/>
        <v>101</v>
      </c>
      <c r="Z59" s="154">
        <f t="shared" si="97"/>
        <v>101</v>
      </c>
      <c r="AA59" s="154">
        <f t="shared" si="97"/>
        <v>104</v>
      </c>
      <c r="AB59" s="159">
        <f>(AH59*1000000/V59)/12</f>
        <v>26740.679824561408</v>
      </c>
      <c r="AC59" s="159">
        <f t="shared" si="94"/>
        <v>25106.16531165312</v>
      </c>
      <c r="AD59" s="159">
        <f t="shared" si="94"/>
        <v>23060.725085910653</v>
      </c>
      <c r="AE59" s="159">
        <f t="shared" si="4"/>
        <v>24190.700615120273</v>
      </c>
      <c r="AF59" s="159">
        <f t="shared" si="5"/>
        <v>25279.282142800683</v>
      </c>
      <c r="AG59" s="159">
        <f t="shared" si="6"/>
        <v>26290.453428512712</v>
      </c>
      <c r="AH59" s="159">
        <f t="shared" ref="AH59" si="98">SUM(AH61:AH71)</f>
        <v>97.550000000000011</v>
      </c>
      <c r="AI59" s="159">
        <f t="shared" si="97"/>
        <v>37.056699999999999</v>
      </c>
      <c r="AJ59" s="159">
        <f t="shared" si="97"/>
        <v>26.842683999999998</v>
      </c>
      <c r="AK59" s="159">
        <f t="shared" si="97"/>
        <v>28.461179524999999</v>
      </c>
      <c r="AL59" s="159">
        <f t="shared" si="97"/>
        <v>29.927123375265413</v>
      </c>
      <c r="AM59" s="159">
        <f t="shared" si="97"/>
        <v>32.044301830969999</v>
      </c>
      <c r="AN59" s="4"/>
      <c r="AO59" s="4"/>
    </row>
    <row r="60" spans="1:41" s="35" customFormat="1" ht="15.75" customHeight="1">
      <c r="A60" s="170" t="s">
        <v>95</v>
      </c>
      <c r="B60" s="164"/>
      <c r="C60" s="152"/>
      <c r="D60" s="30"/>
      <c r="E60" s="30"/>
      <c r="F60" s="30"/>
      <c r="G60" s="30"/>
      <c r="H60" s="30"/>
      <c r="I60" s="30"/>
      <c r="J60" s="155"/>
      <c r="K60" s="155"/>
      <c r="L60" s="155"/>
      <c r="M60" s="155"/>
      <c r="N60" s="155"/>
      <c r="O60" s="155"/>
      <c r="P60" s="155">
        <v>0.26</v>
      </c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6"/>
      <c r="AC60" s="156"/>
      <c r="AD60" s="156"/>
      <c r="AE60" s="207"/>
      <c r="AF60" s="207"/>
      <c r="AG60" s="207"/>
      <c r="AH60" s="156"/>
      <c r="AI60" s="156"/>
      <c r="AJ60" s="156"/>
      <c r="AK60" s="156"/>
      <c r="AL60" s="156"/>
      <c r="AM60" s="156"/>
      <c r="AN60" s="4"/>
      <c r="AO60" s="4"/>
    </row>
    <row r="61" spans="1:41" s="35" customFormat="1" ht="15.75" customHeight="1">
      <c r="A61" s="157" t="s">
        <v>226</v>
      </c>
      <c r="B61" s="105"/>
      <c r="C61" s="152"/>
      <c r="D61" s="155"/>
      <c r="E61" s="155"/>
      <c r="F61" s="155"/>
      <c r="G61" s="155"/>
      <c r="H61" s="155"/>
      <c r="I61" s="155"/>
      <c r="J61" s="155">
        <v>7.2</v>
      </c>
      <c r="K61" s="155">
        <v>8.2449999999999992</v>
      </c>
      <c r="L61" s="155">
        <f>K61*1.039</f>
        <v>8.5665549999999993</v>
      </c>
      <c r="M61" s="155">
        <f>L61*1.042</f>
        <v>8.9263503100000001</v>
      </c>
      <c r="N61" s="155">
        <f>M61*1.055</f>
        <v>9.4172995770499988</v>
      </c>
      <c r="O61" s="155">
        <f>N61*1.04</f>
        <v>9.7939915601319996</v>
      </c>
      <c r="P61" s="155">
        <v>0.26</v>
      </c>
      <c r="Q61" s="155">
        <v>0.309</v>
      </c>
      <c r="R61" s="155">
        <f>Q61*1.039</f>
        <v>0.32105099999999998</v>
      </c>
      <c r="S61" s="155">
        <f>R61*1.042</f>
        <v>0.33453514200000001</v>
      </c>
      <c r="T61" s="155">
        <f>S61*1.055</f>
        <v>0.35293457481000001</v>
      </c>
      <c r="U61" s="155">
        <f>T61*1.04</f>
        <v>0.36705195780240002</v>
      </c>
      <c r="V61" s="155">
        <v>11</v>
      </c>
      <c r="W61" s="155">
        <v>10</v>
      </c>
      <c r="X61" s="155">
        <v>6</v>
      </c>
      <c r="Y61" s="155">
        <v>8</v>
      </c>
      <c r="Z61" s="155">
        <v>7</v>
      </c>
      <c r="AA61" s="155">
        <v>8</v>
      </c>
      <c r="AB61" s="156">
        <f>(AH61*1000000/V61)/12</f>
        <v>9848.484848484848</v>
      </c>
      <c r="AC61" s="156">
        <f t="shared" ref="AC61:AD62" si="99">(AI61*1000000/W61)/12</f>
        <v>7342.5</v>
      </c>
      <c r="AD61" s="156">
        <f t="shared" si="99"/>
        <v>13032.937499999998</v>
      </c>
      <c r="AE61" s="207">
        <f t="shared" si="4"/>
        <v>13671.551437499997</v>
      </c>
      <c r="AF61" s="207">
        <f t="shared" si="5"/>
        <v>14286.771252187495</v>
      </c>
      <c r="AG61" s="207">
        <f t="shared" si="6"/>
        <v>14858.242102274995</v>
      </c>
      <c r="AH61" s="156">
        <v>1.3</v>
      </c>
      <c r="AI61" s="156">
        <v>0.88109999999999999</v>
      </c>
      <c r="AJ61" s="156">
        <f t="shared" ref="AJ61:AJ62" si="100">AI61*1.065</f>
        <v>0.93837149999999991</v>
      </c>
      <c r="AK61" s="156">
        <f>AE61*Y61*12/1000000</f>
        <v>1.3124689379999996</v>
      </c>
      <c r="AL61" s="156">
        <f t="shared" ref="AL61:AL62" si="101">AF61*Z61*12/1000000</f>
        <v>1.2000887851837496</v>
      </c>
      <c r="AM61" s="156">
        <f t="shared" ref="AM61:AM62" si="102">AG61*AA61*12/1000000</f>
        <v>1.4263912418183997</v>
      </c>
      <c r="AN61" s="4"/>
      <c r="AO61" s="4"/>
    </row>
    <row r="62" spans="1:41" s="35" customFormat="1" ht="15.75" customHeight="1">
      <c r="A62" s="157" t="s">
        <v>227</v>
      </c>
      <c r="B62" s="105"/>
      <c r="C62" s="152"/>
      <c r="D62" s="155"/>
      <c r="E62" s="155"/>
      <c r="F62" s="155"/>
      <c r="G62" s="155"/>
      <c r="H62" s="155"/>
      <c r="I62" s="155"/>
      <c r="J62" s="155">
        <v>11.8</v>
      </c>
      <c r="K62" s="155">
        <v>10.316000000000001</v>
      </c>
      <c r="L62" s="155">
        <f>K62*1.039</f>
        <v>10.718324000000001</v>
      </c>
      <c r="M62" s="155">
        <f>L62*1.042</f>
        <v>11.168493608000002</v>
      </c>
      <c r="N62" s="155">
        <f>M62*1.055</f>
        <v>11.782760756440002</v>
      </c>
      <c r="O62" s="155">
        <f>N62*1.04</f>
        <v>12.254071186697603</v>
      </c>
      <c r="P62" s="155">
        <v>0.26</v>
      </c>
      <c r="Q62" s="155">
        <v>0.47</v>
      </c>
      <c r="R62" s="155">
        <f>Q62*1.039</f>
        <v>0.48832999999999993</v>
      </c>
      <c r="S62" s="155">
        <f>R62*1.042</f>
        <v>0.50883985999999992</v>
      </c>
      <c r="T62" s="155">
        <f>S62*1.055</f>
        <v>0.53682605229999991</v>
      </c>
      <c r="U62" s="155">
        <f>T62*1.04</f>
        <v>0.55829909439199987</v>
      </c>
      <c r="V62" s="155">
        <v>2</v>
      </c>
      <c r="W62" s="155">
        <v>3</v>
      </c>
      <c r="X62" s="155">
        <v>1</v>
      </c>
      <c r="Y62" s="155">
        <v>1</v>
      </c>
      <c r="Z62" s="155">
        <v>1</v>
      </c>
      <c r="AA62" s="155">
        <v>1</v>
      </c>
      <c r="AB62" s="156">
        <f>(AH62*1000000/V62)/12</f>
        <v>6250</v>
      </c>
      <c r="AC62" s="156">
        <f t="shared" si="99"/>
        <v>5500</v>
      </c>
      <c r="AD62" s="156">
        <f t="shared" si="99"/>
        <v>17572.5</v>
      </c>
      <c r="AE62" s="207">
        <f t="shared" si="4"/>
        <v>18433.552499999998</v>
      </c>
      <c r="AF62" s="207">
        <f t="shared" si="5"/>
        <v>19263.062362499997</v>
      </c>
      <c r="AG62" s="207">
        <f t="shared" si="6"/>
        <v>20033.584856999998</v>
      </c>
      <c r="AH62" s="156">
        <v>0.15</v>
      </c>
      <c r="AI62" s="156">
        <v>0.19800000000000001</v>
      </c>
      <c r="AJ62" s="156">
        <f t="shared" si="100"/>
        <v>0.21087</v>
      </c>
      <c r="AK62" s="156">
        <f>AE62*Y62*12/1000000</f>
        <v>0.22120262999999998</v>
      </c>
      <c r="AL62" s="156">
        <f t="shared" si="101"/>
        <v>0.23115674834999994</v>
      </c>
      <c r="AM62" s="156">
        <f t="shared" si="102"/>
        <v>0.24040301828399999</v>
      </c>
      <c r="AN62" s="4"/>
      <c r="AO62" s="4"/>
    </row>
    <row r="63" spans="1:41" s="35" customFormat="1" ht="15.75" customHeight="1">
      <c r="A63" s="157" t="s">
        <v>228</v>
      </c>
      <c r="B63" s="105" t="s">
        <v>229</v>
      </c>
      <c r="C63" s="152"/>
      <c r="D63" s="155"/>
      <c r="E63" s="155"/>
      <c r="F63" s="155"/>
      <c r="G63" s="155"/>
      <c r="H63" s="155"/>
      <c r="I63" s="155"/>
      <c r="J63" s="155"/>
      <c r="K63" s="155">
        <v>0</v>
      </c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6"/>
      <c r="AC63" s="156"/>
      <c r="AD63" s="156"/>
      <c r="AE63" s="207"/>
      <c r="AF63" s="207"/>
      <c r="AG63" s="207"/>
      <c r="AH63" s="156"/>
      <c r="AI63" s="156"/>
      <c r="AJ63" s="156"/>
      <c r="AK63" s="156"/>
      <c r="AL63" s="156"/>
      <c r="AM63" s="156"/>
      <c r="AN63" s="4"/>
      <c r="AO63" s="4"/>
    </row>
    <row r="64" spans="1:41" s="35" customFormat="1" ht="15.75" customHeight="1">
      <c r="A64" s="157" t="s">
        <v>230</v>
      </c>
      <c r="B64" s="105" t="s">
        <v>190</v>
      </c>
      <c r="C64" s="152"/>
      <c r="D64" s="155"/>
      <c r="E64" s="155"/>
      <c r="F64" s="155"/>
      <c r="G64" s="155"/>
      <c r="H64" s="155"/>
      <c r="I64" s="155"/>
      <c r="J64" s="155"/>
      <c r="K64" s="155">
        <v>0</v>
      </c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6"/>
      <c r="AC64" s="156"/>
      <c r="AD64" s="156"/>
      <c r="AE64" s="207"/>
      <c r="AF64" s="207"/>
      <c r="AG64" s="207"/>
      <c r="AH64" s="156"/>
      <c r="AI64" s="156"/>
      <c r="AJ64" s="156"/>
      <c r="AK64" s="156"/>
      <c r="AL64" s="156"/>
      <c r="AM64" s="156"/>
      <c r="AN64" s="4"/>
      <c r="AO64" s="4"/>
    </row>
    <row r="65" spans="1:41" s="35" customFormat="1" ht="15.75" customHeight="1">
      <c r="A65" s="157" t="s">
        <v>231</v>
      </c>
      <c r="B65" s="105"/>
      <c r="C65" s="152"/>
      <c r="D65" s="155"/>
      <c r="E65" s="155"/>
      <c r="F65" s="155"/>
      <c r="G65" s="155"/>
      <c r="H65" s="155"/>
      <c r="I65" s="155"/>
      <c r="J65" s="155">
        <v>4.5999999999999996</v>
      </c>
      <c r="K65" s="155">
        <v>13.323</v>
      </c>
      <c r="L65" s="155">
        <f>K65*1.039</f>
        <v>13.842597</v>
      </c>
      <c r="M65" s="155">
        <f>L65*1.042</f>
        <v>14.423986074</v>
      </c>
      <c r="N65" s="155">
        <f>M65*1.055</f>
        <v>15.217305308069999</v>
      </c>
      <c r="O65" s="155">
        <f>N65*1.04</f>
        <v>15.8259975203928</v>
      </c>
      <c r="P65" s="155">
        <v>0.26</v>
      </c>
      <c r="Q65" s="155">
        <v>0.49199999999999999</v>
      </c>
      <c r="R65" s="155">
        <f>Q65*1.039</f>
        <v>0.51118799999999998</v>
      </c>
      <c r="S65" s="155">
        <f>R65*1.042</f>
        <v>0.53265789600000002</v>
      </c>
      <c r="T65" s="155">
        <f>S65*1.055</f>
        <v>0.56195408027999993</v>
      </c>
      <c r="U65" s="155">
        <f>T65*1.04</f>
        <v>0.58443224349119993</v>
      </c>
      <c r="V65" s="155">
        <v>6</v>
      </c>
      <c r="W65" s="155">
        <v>10</v>
      </c>
      <c r="X65" s="155">
        <v>7</v>
      </c>
      <c r="Y65" s="155">
        <v>7</v>
      </c>
      <c r="Z65" s="155">
        <v>7</v>
      </c>
      <c r="AA65" s="155">
        <v>7</v>
      </c>
      <c r="AB65" s="156">
        <f>(AH65*1000000/V65)/12</f>
        <v>19722.222222222223</v>
      </c>
      <c r="AC65" s="156">
        <f t="shared" ref="AC65:AD65" si="103">(AI65*1000000/W65)/12</f>
        <v>6668.333333333333</v>
      </c>
      <c r="AD65" s="156">
        <f t="shared" si="103"/>
        <v>10145.392857142857</v>
      </c>
      <c r="AE65" s="207">
        <f t="shared" si="4"/>
        <v>10642.517107142856</v>
      </c>
      <c r="AF65" s="207">
        <f t="shared" si="5"/>
        <v>11121.430376964283</v>
      </c>
      <c r="AG65" s="207">
        <f t="shared" si="6"/>
        <v>11566.287592042854</v>
      </c>
      <c r="AH65" s="156">
        <v>1.42</v>
      </c>
      <c r="AI65" s="156">
        <v>0.80020000000000002</v>
      </c>
      <c r="AJ65" s="156">
        <f t="shared" ref="AJ65" si="104">AI65*1.065</f>
        <v>0.852213</v>
      </c>
      <c r="AK65" s="156">
        <f>AE65*Y65*12/1000000</f>
        <v>0.89397143699999981</v>
      </c>
      <c r="AL65" s="156">
        <f t="shared" ref="AL65" si="105">AF65*Z65*12/1000000</f>
        <v>0.93420015166499981</v>
      </c>
      <c r="AM65" s="156">
        <f t="shared" ref="AM65" si="106">AG65*AA65*12/1000000</f>
        <v>0.97156815773159988</v>
      </c>
      <c r="AN65" s="4"/>
      <c r="AO65" s="4"/>
    </row>
    <row r="66" spans="1:41" s="35" customFormat="1" ht="15.75">
      <c r="A66" s="157" t="s">
        <v>232</v>
      </c>
      <c r="B66" s="105" t="s">
        <v>190</v>
      </c>
      <c r="C66" s="152"/>
      <c r="D66" s="155"/>
      <c r="E66" s="155"/>
      <c r="F66" s="155"/>
      <c r="G66" s="155"/>
      <c r="H66" s="155"/>
      <c r="I66" s="155"/>
      <c r="J66" s="155"/>
      <c r="K66" s="155">
        <v>0</v>
      </c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6"/>
      <c r="AC66" s="156"/>
      <c r="AD66" s="156"/>
      <c r="AE66" s="207"/>
      <c r="AF66" s="207"/>
      <c r="AG66" s="207"/>
      <c r="AH66" s="156"/>
      <c r="AI66" s="156"/>
      <c r="AJ66" s="156"/>
      <c r="AK66" s="156"/>
      <c r="AL66" s="156"/>
      <c r="AM66" s="156"/>
      <c r="AN66" s="4"/>
      <c r="AO66" s="4"/>
    </row>
    <row r="67" spans="1:41" s="35" customFormat="1" ht="15.75">
      <c r="A67" s="173" t="s">
        <v>233</v>
      </c>
      <c r="B67" s="105"/>
      <c r="C67" s="152"/>
      <c r="D67" s="155"/>
      <c r="E67" s="155"/>
      <c r="F67" s="155"/>
      <c r="G67" s="155"/>
      <c r="H67" s="155"/>
      <c r="I67" s="155"/>
      <c r="J67" s="155"/>
      <c r="K67" s="155">
        <v>0.2</v>
      </c>
      <c r="L67" s="155">
        <f>K67*1.039</f>
        <v>0.20779999999999998</v>
      </c>
      <c r="M67" s="155">
        <f>L67*1.042</f>
        <v>0.21652759999999999</v>
      </c>
      <c r="N67" s="155">
        <f>M67*1.055</f>
        <v>0.22843661799999998</v>
      </c>
      <c r="O67" s="155">
        <f>N67*1.04</f>
        <v>0.23757408272</v>
      </c>
      <c r="P67" s="155">
        <v>0.26</v>
      </c>
      <c r="Q67" s="155">
        <v>2.5000000000000001E-2</v>
      </c>
      <c r="R67" s="155">
        <f>Q67*1.039</f>
        <v>2.5974999999999998E-2</v>
      </c>
      <c r="S67" s="155">
        <f>R67*1.042</f>
        <v>2.7065949999999998E-2</v>
      </c>
      <c r="T67" s="155">
        <f>S67*1.055</f>
        <v>2.8554577249999998E-2</v>
      </c>
      <c r="U67" s="155">
        <f>T67*1.04</f>
        <v>2.969676034E-2</v>
      </c>
      <c r="V67" s="155"/>
      <c r="W67" s="155">
        <v>2</v>
      </c>
      <c r="X67" s="155">
        <v>1</v>
      </c>
      <c r="Y67" s="155">
        <v>1</v>
      </c>
      <c r="Z67" s="155">
        <v>1</v>
      </c>
      <c r="AA67" s="155">
        <v>1</v>
      </c>
      <c r="AB67" s="156"/>
      <c r="AC67" s="156">
        <f t="shared" ref="AC67:AD72" si="107">(AI67*1000000/W67)/12</f>
        <v>7000</v>
      </c>
      <c r="AD67" s="156">
        <f t="shared" si="107"/>
        <v>14910</v>
      </c>
      <c r="AE67" s="207">
        <f t="shared" si="4"/>
        <v>15640.589999999998</v>
      </c>
      <c r="AF67" s="207">
        <f t="shared" si="5"/>
        <v>16344.416549999996</v>
      </c>
      <c r="AG67" s="207">
        <f t="shared" si="6"/>
        <v>16998.193211999998</v>
      </c>
      <c r="AH67" s="156"/>
      <c r="AI67" s="156">
        <v>0.16800000000000001</v>
      </c>
      <c r="AJ67" s="156">
        <f t="shared" ref="AJ67:AJ68" si="108">AI67*1.065</f>
        <v>0.17892</v>
      </c>
      <c r="AK67" s="156">
        <f>AE67*Y67*12/1000000</f>
        <v>0.18768707999999998</v>
      </c>
      <c r="AL67" s="156">
        <f t="shared" ref="AL67:AL68" si="109">AF67*Z67*12/1000000</f>
        <v>0.19613299859999997</v>
      </c>
      <c r="AM67" s="156">
        <f t="shared" ref="AM67:AM68" si="110">AG67*AA67*12/1000000</f>
        <v>0.20397831854399998</v>
      </c>
      <c r="AN67" s="4"/>
      <c r="AO67" s="4"/>
    </row>
    <row r="68" spans="1:41" s="35" customFormat="1" ht="31.5">
      <c r="A68" s="173" t="s">
        <v>234</v>
      </c>
      <c r="B68" s="105" t="s">
        <v>235</v>
      </c>
      <c r="C68" s="152"/>
      <c r="D68" s="155"/>
      <c r="E68" s="155"/>
      <c r="F68" s="155"/>
      <c r="G68" s="155"/>
      <c r="H68" s="155"/>
      <c r="I68" s="155"/>
      <c r="J68" s="155"/>
      <c r="K68" s="155">
        <v>0</v>
      </c>
      <c r="L68" s="155"/>
      <c r="M68" s="155"/>
      <c r="N68" s="155"/>
      <c r="O68" s="155"/>
      <c r="P68" s="155"/>
      <c r="Q68" s="155">
        <v>0</v>
      </c>
      <c r="R68" s="155"/>
      <c r="S68" s="155"/>
      <c r="T68" s="155"/>
      <c r="U68" s="155"/>
      <c r="V68" s="155"/>
      <c r="W68" s="155">
        <v>6</v>
      </c>
      <c r="X68" s="155">
        <v>6</v>
      </c>
      <c r="Y68" s="155">
        <v>8</v>
      </c>
      <c r="Z68" s="155">
        <v>8</v>
      </c>
      <c r="AA68" s="155">
        <v>8</v>
      </c>
      <c r="AB68" s="156"/>
      <c r="AC68" s="156">
        <f t="shared" si="107"/>
        <v>2333.3333333333335</v>
      </c>
      <c r="AD68" s="156">
        <f t="shared" si="107"/>
        <v>2485</v>
      </c>
      <c r="AE68" s="207">
        <f t="shared" si="4"/>
        <v>2606.7649999999999</v>
      </c>
      <c r="AF68" s="207">
        <f t="shared" si="5"/>
        <v>2724.0694249999997</v>
      </c>
      <c r="AG68" s="207">
        <f t="shared" si="6"/>
        <v>2833.0322019999999</v>
      </c>
      <c r="AH68" s="156"/>
      <c r="AI68" s="156">
        <v>0.16800000000000001</v>
      </c>
      <c r="AJ68" s="156">
        <f t="shared" si="108"/>
        <v>0.17892</v>
      </c>
      <c r="AK68" s="156">
        <f>AE68*Y68*12/1000000</f>
        <v>0.25024943999999999</v>
      </c>
      <c r="AL68" s="156">
        <f t="shared" si="109"/>
        <v>0.26151066479999996</v>
      </c>
      <c r="AM68" s="156">
        <f t="shared" si="110"/>
        <v>0.27197109139199999</v>
      </c>
      <c r="AN68" s="4"/>
      <c r="AO68" s="4"/>
    </row>
    <row r="69" spans="1:41" s="35" customFormat="1" ht="31.5">
      <c r="A69" s="173" t="s">
        <v>236</v>
      </c>
      <c r="B69" s="105" t="s">
        <v>237</v>
      </c>
      <c r="C69" s="152"/>
      <c r="D69" s="155"/>
      <c r="E69" s="155"/>
      <c r="F69" s="155"/>
      <c r="G69" s="155"/>
      <c r="H69" s="155"/>
      <c r="I69" s="155"/>
      <c r="J69" s="155"/>
      <c r="K69" s="155">
        <v>0</v>
      </c>
      <c r="L69" s="155"/>
      <c r="M69" s="155"/>
      <c r="N69" s="155"/>
      <c r="O69" s="155"/>
      <c r="P69" s="155"/>
      <c r="Q69" s="155">
        <v>0</v>
      </c>
      <c r="R69" s="155"/>
      <c r="S69" s="155"/>
      <c r="T69" s="155"/>
      <c r="U69" s="155"/>
      <c r="V69" s="155"/>
      <c r="W69" s="155"/>
      <c r="X69" s="155">
        <v>1</v>
      </c>
      <c r="Y69" s="155">
        <v>1</v>
      </c>
      <c r="Z69" s="155">
        <v>1</v>
      </c>
      <c r="AA69" s="155">
        <v>1</v>
      </c>
      <c r="AB69" s="156"/>
      <c r="AC69" s="156"/>
      <c r="AD69" s="156"/>
      <c r="AE69" s="207"/>
      <c r="AF69" s="207"/>
      <c r="AG69" s="207"/>
      <c r="AH69" s="156"/>
      <c r="AI69" s="156"/>
      <c r="AJ69" s="156"/>
      <c r="AK69" s="156"/>
      <c r="AL69" s="156"/>
      <c r="AM69" s="156"/>
      <c r="AN69" s="4"/>
      <c r="AO69" s="4"/>
    </row>
    <row r="70" spans="1:41" s="35" customFormat="1" ht="15.75">
      <c r="A70" s="173" t="s">
        <v>238</v>
      </c>
      <c r="B70" s="105"/>
      <c r="C70" s="152"/>
      <c r="D70" s="155"/>
      <c r="E70" s="155"/>
      <c r="F70" s="155"/>
      <c r="G70" s="155"/>
      <c r="H70" s="155"/>
      <c r="I70" s="155"/>
      <c r="J70" s="155"/>
      <c r="K70" s="155">
        <v>3.6</v>
      </c>
      <c r="L70" s="155">
        <f>K70*1.039</f>
        <v>3.7403999999999997</v>
      </c>
      <c r="M70" s="155">
        <f>L70*1.042</f>
        <v>3.8974967999999999</v>
      </c>
      <c r="N70" s="155">
        <f>M70*1.055</f>
        <v>4.1118591239999995</v>
      </c>
      <c r="O70" s="155">
        <f>N70*1.04</f>
        <v>4.2763334889599998</v>
      </c>
      <c r="P70" s="155">
        <v>0.26</v>
      </c>
      <c r="Q70" s="155">
        <v>0</v>
      </c>
      <c r="R70" s="155"/>
      <c r="S70" s="155"/>
      <c r="T70" s="155"/>
      <c r="U70" s="155"/>
      <c r="V70" s="155"/>
      <c r="W70" s="155">
        <v>1</v>
      </c>
      <c r="X70" s="155">
        <v>0</v>
      </c>
      <c r="Y70" s="155">
        <v>0</v>
      </c>
      <c r="Z70" s="155">
        <v>0</v>
      </c>
      <c r="AA70" s="155">
        <v>0</v>
      </c>
      <c r="AB70" s="156"/>
      <c r="AC70" s="156">
        <f t="shared" si="107"/>
        <v>6525</v>
      </c>
      <c r="AD70" s="156"/>
      <c r="AE70" s="207"/>
      <c r="AF70" s="207"/>
      <c r="AG70" s="207"/>
      <c r="AH70" s="156"/>
      <c r="AI70" s="156">
        <v>7.8299999999999995E-2</v>
      </c>
      <c r="AJ70" s="156">
        <f t="shared" ref="AJ70" si="111">AI70*1.065</f>
        <v>8.3389499999999991E-2</v>
      </c>
      <c r="AK70" s="156">
        <f>AE70*Y70*12/1000000</f>
        <v>0</v>
      </c>
      <c r="AL70" s="156">
        <f t="shared" ref="AL70:AL71" si="112">AF70*Z70*12/1000000</f>
        <v>0</v>
      </c>
      <c r="AM70" s="156">
        <f t="shared" ref="AM70:AM71" si="113">AG70*AA70*12/1000000</f>
        <v>0</v>
      </c>
      <c r="AN70" s="4"/>
      <c r="AO70" s="4"/>
    </row>
    <row r="71" spans="1:41" s="35" customFormat="1" ht="15.75">
      <c r="A71" s="173" t="s">
        <v>74</v>
      </c>
      <c r="B71" s="105"/>
      <c r="C71" s="152"/>
      <c r="D71" s="155"/>
      <c r="E71" s="155"/>
      <c r="F71" s="155"/>
      <c r="G71" s="155"/>
      <c r="H71" s="155"/>
      <c r="I71" s="155"/>
      <c r="J71" s="155"/>
      <c r="K71" s="155">
        <v>0</v>
      </c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>
        <v>285</v>
      </c>
      <c r="W71" s="155">
        <v>91</v>
      </c>
      <c r="X71" s="155">
        <v>75</v>
      </c>
      <c r="Y71" s="155">
        <v>75</v>
      </c>
      <c r="Z71" s="155">
        <v>76</v>
      </c>
      <c r="AA71" s="155">
        <v>78</v>
      </c>
      <c r="AB71" s="156">
        <f>(AH71*1000000/V71)/12</f>
        <v>27684.21052631579</v>
      </c>
      <c r="AC71" s="156">
        <f t="shared" si="107"/>
        <v>31834.340659340658</v>
      </c>
      <c r="AD71" s="156">
        <f t="shared" si="107"/>
        <v>27111.111111111109</v>
      </c>
      <c r="AE71" s="207">
        <f t="shared" si="4"/>
        <v>28439.555555555551</v>
      </c>
      <c r="AF71" s="207">
        <f t="shared" si="5"/>
        <v>29719.33555555555</v>
      </c>
      <c r="AG71" s="207">
        <f t="shared" si="6"/>
        <v>30908.108977777774</v>
      </c>
      <c r="AH71" s="156">
        <v>94.68</v>
      </c>
      <c r="AI71" s="156">
        <v>34.763100000000001</v>
      </c>
      <c r="AJ71" s="156">
        <v>24.4</v>
      </c>
      <c r="AK71" s="156">
        <f>AE71*Y71*12/1000000</f>
        <v>25.595600000000001</v>
      </c>
      <c r="AL71" s="156">
        <f t="shared" si="112"/>
        <v>27.104034026666664</v>
      </c>
      <c r="AM71" s="156">
        <f t="shared" si="113"/>
        <v>28.929990003199997</v>
      </c>
      <c r="AN71" s="4"/>
      <c r="AO71" s="4"/>
    </row>
    <row r="72" spans="1:41" s="35" customFormat="1" ht="15.75" customHeight="1">
      <c r="A72" s="110" t="s">
        <v>13</v>
      </c>
      <c r="B72" s="124"/>
      <c r="C72" s="152"/>
      <c r="D72" s="154">
        <f t="shared" ref="D72" si="114">SUM(D74:D84)</f>
        <v>0</v>
      </c>
      <c r="E72" s="154">
        <f>SUM(E74:E84)</f>
        <v>0</v>
      </c>
      <c r="F72" s="154">
        <f t="shared" ref="F72:J72" si="115">SUM(F74:F84)</f>
        <v>0</v>
      </c>
      <c r="G72" s="154">
        <f t="shared" si="115"/>
        <v>0</v>
      </c>
      <c r="H72" s="154">
        <f t="shared" si="115"/>
        <v>0</v>
      </c>
      <c r="I72" s="154">
        <f t="shared" si="115"/>
        <v>0</v>
      </c>
      <c r="J72" s="154">
        <f t="shared" si="115"/>
        <v>23.8</v>
      </c>
      <c r="K72" s="154">
        <f>SUM(K74:K84)</f>
        <v>109.54719999999999</v>
      </c>
      <c r="L72" s="154">
        <f t="shared" ref="L72:AM72" si="116">SUM(L74:L84)</f>
        <v>119.29690079999999</v>
      </c>
      <c r="M72" s="154">
        <f t="shared" si="116"/>
        <v>125.61963654239999</v>
      </c>
      <c r="N72" s="154">
        <f t="shared" si="116"/>
        <v>132.02623800606236</v>
      </c>
      <c r="O72" s="154">
        <f t="shared" si="116"/>
        <v>138.2314711923473</v>
      </c>
      <c r="P72" s="154">
        <f t="shared" si="116"/>
        <v>1.7</v>
      </c>
      <c r="Q72" s="154">
        <f t="shared" si="116"/>
        <v>3.3620000000000001</v>
      </c>
      <c r="R72" s="154">
        <f t="shared" si="116"/>
        <v>3.6612179999999999</v>
      </c>
      <c r="S72" s="154">
        <f t="shared" si="116"/>
        <v>3.8552625540000003</v>
      </c>
      <c r="T72" s="154">
        <f t="shared" si="116"/>
        <v>4.051880944254</v>
      </c>
      <c r="U72" s="154">
        <f t="shared" si="116"/>
        <v>4.2423193486339379</v>
      </c>
      <c r="V72" s="154">
        <f t="shared" si="116"/>
        <v>1381</v>
      </c>
      <c r="W72" s="154">
        <f t="shared" si="116"/>
        <v>1500</v>
      </c>
      <c r="X72" s="154">
        <f t="shared" si="116"/>
        <v>1594</v>
      </c>
      <c r="Y72" s="154">
        <f t="shared" si="116"/>
        <v>1645</v>
      </c>
      <c r="Z72" s="154">
        <f t="shared" si="116"/>
        <v>1645</v>
      </c>
      <c r="AA72" s="154">
        <f t="shared" si="116"/>
        <v>1645</v>
      </c>
      <c r="AB72" s="159">
        <f>(AH72*1000000/V72)/12</f>
        <v>46332.971276852528</v>
      </c>
      <c r="AC72" s="159">
        <f t="shared" si="107"/>
        <v>47095.861111111117</v>
      </c>
      <c r="AD72" s="159">
        <f t="shared" si="107"/>
        <v>47459.215312630695</v>
      </c>
      <c r="AE72" s="159">
        <f t="shared" si="4"/>
        <v>49784.716862949594</v>
      </c>
      <c r="AF72" s="159">
        <f t="shared" si="5"/>
        <v>52025.029121782325</v>
      </c>
      <c r="AG72" s="159">
        <f t="shared" si="6"/>
        <v>54106.030286653622</v>
      </c>
      <c r="AH72" s="159">
        <f t="shared" ref="AH72" si="117">SUM(AH74:AH84)</f>
        <v>767.83</v>
      </c>
      <c r="AI72" s="159">
        <f t="shared" si="116"/>
        <v>847.72550000000001</v>
      </c>
      <c r="AJ72" s="159">
        <f t="shared" si="116"/>
        <v>907.7998705</v>
      </c>
      <c r="AK72" s="159">
        <f t="shared" si="116"/>
        <v>980.0672254141017</v>
      </c>
      <c r="AL72" s="159">
        <f t="shared" si="116"/>
        <v>1024.1702505577362</v>
      </c>
      <c r="AM72" s="159">
        <f t="shared" si="116"/>
        <v>1065.1370605800457</v>
      </c>
      <c r="AN72" s="4"/>
      <c r="AO72" s="4"/>
    </row>
    <row r="73" spans="1:41" s="35" customFormat="1" ht="15.75" customHeight="1">
      <c r="A73" s="31" t="s">
        <v>95</v>
      </c>
      <c r="B73" s="105"/>
      <c r="C73" s="152"/>
      <c r="D73" s="30"/>
      <c r="E73" s="30"/>
      <c r="F73" s="30"/>
      <c r="G73" s="30"/>
      <c r="H73" s="30"/>
      <c r="I73" s="30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6"/>
      <c r="AC73" s="156"/>
      <c r="AD73" s="156"/>
      <c r="AE73" s="207"/>
      <c r="AF73" s="207"/>
      <c r="AG73" s="207"/>
      <c r="AH73" s="156"/>
      <c r="AI73" s="156"/>
      <c r="AJ73" s="156"/>
      <c r="AK73" s="156"/>
      <c r="AL73" s="156"/>
      <c r="AM73" s="156"/>
      <c r="AN73" s="4"/>
      <c r="AO73" s="4"/>
    </row>
    <row r="74" spans="1:41" s="35" customFormat="1" ht="30.75" customHeight="1">
      <c r="A74" s="157" t="s">
        <v>239</v>
      </c>
      <c r="B74" s="105" t="s">
        <v>240</v>
      </c>
      <c r="C74" s="152"/>
      <c r="D74" s="155"/>
      <c r="E74" s="155"/>
      <c r="F74" s="155"/>
      <c r="G74" s="155"/>
      <c r="H74" s="155"/>
      <c r="I74" s="155"/>
      <c r="J74" s="155">
        <v>5.3</v>
      </c>
      <c r="K74" s="155">
        <v>2.0409999999999999</v>
      </c>
      <c r="L74" s="155">
        <f>K74*1.089</f>
        <v>2.2226489999999997</v>
      </c>
      <c r="M74" s="155">
        <f>L74*1.053</f>
        <v>2.3404493969999995</v>
      </c>
      <c r="N74" s="155">
        <f>M74*1.051</f>
        <v>2.4598123162469996</v>
      </c>
      <c r="O74" s="155">
        <f>N74*1.047</f>
        <v>2.5754234951106083</v>
      </c>
      <c r="P74" s="155">
        <v>0.5</v>
      </c>
      <c r="Q74" s="155">
        <v>0.245</v>
      </c>
      <c r="R74" s="155">
        <f>Q74*1.089</f>
        <v>0.26680500000000001</v>
      </c>
      <c r="S74" s="155">
        <f>R74*1.053</f>
        <v>0.28094566500000001</v>
      </c>
      <c r="T74" s="155">
        <f>S74*1.051</f>
        <v>0.29527389391499997</v>
      </c>
      <c r="U74" s="155">
        <f>T74*1.047</f>
        <v>0.30915176692900498</v>
      </c>
      <c r="V74" s="155">
        <v>19</v>
      </c>
      <c r="W74" s="155">
        <v>10</v>
      </c>
      <c r="X74" s="155">
        <v>0</v>
      </c>
      <c r="Y74" s="155">
        <v>0</v>
      </c>
      <c r="Z74" s="155">
        <v>0</v>
      </c>
      <c r="AA74" s="155">
        <v>0</v>
      </c>
      <c r="AB74" s="156">
        <v>15272.8</v>
      </c>
      <c r="AC74" s="156">
        <f>(AI74*1000000/W74)/12</f>
        <v>13333.333333333334</v>
      </c>
      <c r="AD74" s="156"/>
      <c r="AE74" s="207"/>
      <c r="AF74" s="207"/>
      <c r="AG74" s="207"/>
      <c r="AH74" s="156">
        <f t="shared" ref="AH74" si="118">(AN74*1000000/AB74)/12</f>
        <v>0</v>
      </c>
      <c r="AI74" s="156">
        <v>1.6</v>
      </c>
      <c r="AJ74" s="156">
        <v>0</v>
      </c>
      <c r="AK74" s="156">
        <f>AE74*Y74*12/1000000</f>
        <v>0</v>
      </c>
      <c r="AL74" s="156">
        <f t="shared" ref="AL74:AL78" si="119">AF74*Z74*12/1000000</f>
        <v>0</v>
      </c>
      <c r="AM74" s="156">
        <f t="shared" ref="AM74:AM78" si="120">AG74*AA74*12/1000000</f>
        <v>0</v>
      </c>
      <c r="AN74" s="4"/>
      <c r="AO74" s="4"/>
    </row>
    <row r="75" spans="1:41" s="35" customFormat="1" ht="30.75" customHeight="1">
      <c r="A75" s="157" t="s">
        <v>241</v>
      </c>
      <c r="B75" s="105"/>
      <c r="C75" s="152"/>
      <c r="D75" s="155"/>
      <c r="E75" s="155"/>
      <c r="F75" s="155"/>
      <c r="G75" s="155"/>
      <c r="H75" s="155"/>
      <c r="I75" s="155"/>
      <c r="J75" s="155"/>
      <c r="K75" s="155">
        <v>68</v>
      </c>
      <c r="L75" s="155">
        <f>K75*1.089</f>
        <v>74.051999999999992</v>
      </c>
      <c r="M75" s="155">
        <f>L75*1.053</f>
        <v>77.97675599999998</v>
      </c>
      <c r="N75" s="155">
        <f>M75*1.051</f>
        <v>81.953570555999974</v>
      </c>
      <c r="O75" s="155">
        <f>N75*1.047</f>
        <v>85.805388372131972</v>
      </c>
      <c r="P75" s="155"/>
      <c r="Q75" s="155">
        <v>0.7</v>
      </c>
      <c r="R75" s="155">
        <f>Q75*1.089</f>
        <v>0.76229999999999998</v>
      </c>
      <c r="S75" s="155">
        <f>R75*1.053</f>
        <v>0.80270189999999997</v>
      </c>
      <c r="T75" s="155">
        <f>S75*1.051</f>
        <v>0.84363969689999996</v>
      </c>
      <c r="U75" s="155">
        <f>T75*1.047</f>
        <v>0.88329076265429984</v>
      </c>
      <c r="V75" s="155"/>
      <c r="W75" s="155">
        <v>5</v>
      </c>
      <c r="X75" s="155">
        <v>4</v>
      </c>
      <c r="Y75" s="155">
        <v>4</v>
      </c>
      <c r="Z75" s="155">
        <v>4</v>
      </c>
      <c r="AA75" s="155">
        <v>4</v>
      </c>
      <c r="AB75" s="156"/>
      <c r="AC75" s="156"/>
      <c r="AD75" s="156"/>
      <c r="AE75" s="207"/>
      <c r="AF75" s="207"/>
      <c r="AG75" s="207"/>
      <c r="AH75" s="156"/>
      <c r="AI75" s="156">
        <v>0.62</v>
      </c>
      <c r="AJ75" s="156">
        <f t="shared" ref="AJ75:AJ78" si="121">AI75*1.065</f>
        <v>0.6603</v>
      </c>
      <c r="AK75" s="156">
        <f>AE75*Y75*12/1000000</f>
        <v>0</v>
      </c>
      <c r="AL75" s="156">
        <f t="shared" si="119"/>
        <v>0</v>
      </c>
      <c r="AM75" s="156">
        <f t="shared" si="120"/>
        <v>0</v>
      </c>
      <c r="AN75" s="4"/>
      <c r="AO75" s="4"/>
    </row>
    <row r="76" spans="1:41" s="35" customFormat="1" ht="15.75" customHeight="1">
      <c r="A76" s="157" t="s">
        <v>242</v>
      </c>
      <c r="B76" s="105"/>
      <c r="C76" s="152"/>
      <c r="D76" s="155"/>
      <c r="E76" s="155"/>
      <c r="F76" s="155"/>
      <c r="G76" s="155"/>
      <c r="H76" s="155"/>
      <c r="I76" s="155"/>
      <c r="J76" s="155">
        <v>17.899999999999999</v>
      </c>
      <c r="K76" s="155">
        <v>10.862</v>
      </c>
      <c r="L76" s="155">
        <f>K76*1.089</f>
        <v>11.828718</v>
      </c>
      <c r="M76" s="155">
        <f>L76*1.053</f>
        <v>12.455640054</v>
      </c>
      <c r="N76" s="155">
        <f>M76*1.051</f>
        <v>13.090877696753999</v>
      </c>
      <c r="O76" s="155">
        <f>N76*1.047</f>
        <v>13.706148948501436</v>
      </c>
      <c r="P76" s="155">
        <v>1.2</v>
      </c>
      <c r="Q76" s="155">
        <v>1.054</v>
      </c>
      <c r="R76" s="155">
        <f>Q76*1.089</f>
        <v>1.1478060000000001</v>
      </c>
      <c r="S76" s="155">
        <f>R76*1.053</f>
        <v>1.2086397180000001</v>
      </c>
      <c r="T76" s="155">
        <f>S76*1.051</f>
        <v>1.2702803436180001</v>
      </c>
      <c r="U76" s="155">
        <f>T76*1.047</f>
        <v>1.3299835197680461</v>
      </c>
      <c r="V76" s="155">
        <v>11</v>
      </c>
      <c r="W76" s="155">
        <v>10</v>
      </c>
      <c r="X76" s="155">
        <v>10</v>
      </c>
      <c r="Y76" s="155">
        <v>10</v>
      </c>
      <c r="Z76" s="155">
        <v>10</v>
      </c>
      <c r="AA76" s="155">
        <v>10</v>
      </c>
      <c r="AB76" s="156">
        <f>(AH76*1000000/V76)/12</f>
        <v>7878.787878787879</v>
      </c>
      <c r="AC76" s="156">
        <f t="shared" ref="AC76:AD76" si="122">(AI76*1000000/W76)/12</f>
        <v>12425</v>
      </c>
      <c r="AD76" s="156">
        <f t="shared" si="122"/>
        <v>13232.625</v>
      </c>
      <c r="AE76" s="207">
        <f t="shared" ref="AE76:AE133" si="123">AD76*1.049</f>
        <v>13881.023625</v>
      </c>
      <c r="AF76" s="207">
        <f t="shared" ref="AF76:AF133" si="124">AE76*1.045</f>
        <v>14505.669688124999</v>
      </c>
      <c r="AG76" s="207">
        <f t="shared" ref="AG76:AG133" si="125">AF76*1.04</f>
        <v>15085.896475649999</v>
      </c>
      <c r="AH76" s="156">
        <v>1.04</v>
      </c>
      <c r="AI76" s="156">
        <v>1.4910000000000001</v>
      </c>
      <c r="AJ76" s="156">
        <f t="shared" si="121"/>
        <v>1.587915</v>
      </c>
      <c r="AK76" s="156">
        <f>AE76*Y76*12/1000000</f>
        <v>1.665722835</v>
      </c>
      <c r="AL76" s="156">
        <f t="shared" si="119"/>
        <v>1.7406803625749996</v>
      </c>
      <c r="AM76" s="156">
        <f t="shared" si="120"/>
        <v>1.8103075770779997</v>
      </c>
      <c r="AN76" s="4"/>
      <c r="AO76" s="4"/>
    </row>
    <row r="77" spans="1:41" s="35" customFormat="1" ht="15.75" customHeight="1">
      <c r="A77" s="157" t="s">
        <v>243</v>
      </c>
      <c r="B77" s="105"/>
      <c r="C77" s="152"/>
      <c r="D77" s="155"/>
      <c r="E77" s="155"/>
      <c r="F77" s="155"/>
      <c r="G77" s="155"/>
      <c r="H77" s="155"/>
      <c r="I77" s="155"/>
      <c r="J77" s="155"/>
      <c r="K77" s="155">
        <v>10.574999999999999</v>
      </c>
      <c r="L77" s="155">
        <f>K77*1.089</f>
        <v>11.516174999999999</v>
      </c>
      <c r="M77" s="155">
        <f>L77*1.053</f>
        <v>12.126532274999997</v>
      </c>
      <c r="N77" s="155">
        <f>M77*1.051</f>
        <v>12.744985421024996</v>
      </c>
      <c r="O77" s="155">
        <f>N77*1.047</f>
        <v>13.343999735813171</v>
      </c>
      <c r="P77" s="155"/>
      <c r="Q77" s="155">
        <v>4.9000000000000002E-2</v>
      </c>
      <c r="R77" s="155">
        <f>Q77*1.089</f>
        <v>5.3360999999999999E-2</v>
      </c>
      <c r="S77" s="155">
        <f>R77*1.053</f>
        <v>5.6189132999999995E-2</v>
      </c>
      <c r="T77" s="155">
        <f>S77*1.051</f>
        <v>5.9054778782999993E-2</v>
      </c>
      <c r="U77" s="155">
        <f>T77*1.047</f>
        <v>6.1830353385800986E-2</v>
      </c>
      <c r="V77" s="155"/>
      <c r="W77" s="155">
        <v>5</v>
      </c>
      <c r="X77" s="155">
        <v>5</v>
      </c>
      <c r="Y77" s="155">
        <v>5</v>
      </c>
      <c r="Z77" s="155">
        <v>5</v>
      </c>
      <c r="AA77" s="155">
        <v>5</v>
      </c>
      <c r="AB77" s="156"/>
      <c r="AC77" s="156"/>
      <c r="AD77" s="156"/>
      <c r="AE77" s="207"/>
      <c r="AF77" s="207"/>
      <c r="AG77" s="207"/>
      <c r="AH77" s="156"/>
      <c r="AI77" s="156">
        <v>0.72299999999999998</v>
      </c>
      <c r="AJ77" s="156">
        <f t="shared" si="121"/>
        <v>0.76999499999999999</v>
      </c>
      <c r="AK77" s="156">
        <f>AE77*Y77*12/1000000</f>
        <v>0</v>
      </c>
      <c r="AL77" s="156">
        <f t="shared" si="119"/>
        <v>0</v>
      </c>
      <c r="AM77" s="156">
        <f t="shared" si="120"/>
        <v>0</v>
      </c>
      <c r="AN77" s="4"/>
      <c r="AO77" s="4"/>
    </row>
    <row r="78" spans="1:41" s="35" customFormat="1" ht="36" customHeight="1">
      <c r="A78" s="157" t="s">
        <v>244</v>
      </c>
      <c r="B78" s="105" t="s">
        <v>245</v>
      </c>
      <c r="C78" s="152"/>
      <c r="D78" s="155"/>
      <c r="E78" s="155"/>
      <c r="F78" s="155"/>
      <c r="G78" s="155"/>
      <c r="H78" s="155"/>
      <c r="I78" s="155"/>
      <c r="J78" s="155"/>
      <c r="K78" s="155">
        <v>4.1760000000000002</v>
      </c>
      <c r="L78" s="155">
        <f>K78*1.089</f>
        <v>4.5476640000000002</v>
      </c>
      <c r="M78" s="155">
        <f>L78*1.053</f>
        <v>4.7886901919999998</v>
      </c>
      <c r="N78" s="155">
        <f>M78*1.051</f>
        <v>5.0329133917919995</v>
      </c>
      <c r="O78" s="155">
        <f>N78*1.047</f>
        <v>5.269460321206223</v>
      </c>
      <c r="P78" s="155"/>
      <c r="Q78" s="155"/>
      <c r="R78" s="155"/>
      <c r="S78" s="155"/>
      <c r="T78" s="155"/>
      <c r="U78" s="155"/>
      <c r="V78" s="155"/>
      <c r="W78" s="155">
        <v>19</v>
      </c>
      <c r="X78" s="155">
        <v>1</v>
      </c>
      <c r="Y78" s="155">
        <v>1</v>
      </c>
      <c r="Z78" s="155">
        <v>1</v>
      </c>
      <c r="AA78" s="155">
        <v>1</v>
      </c>
      <c r="AB78" s="156"/>
      <c r="AC78" s="156"/>
      <c r="AD78" s="156"/>
      <c r="AE78" s="207"/>
      <c r="AF78" s="207"/>
      <c r="AG78" s="207"/>
      <c r="AH78" s="156"/>
      <c r="AI78" s="156">
        <v>2.1888000000000001</v>
      </c>
      <c r="AJ78" s="156">
        <f t="shared" si="121"/>
        <v>2.3310719999999998</v>
      </c>
      <c r="AK78" s="156">
        <f>AE78*Y78*12/1000000</f>
        <v>0</v>
      </c>
      <c r="AL78" s="156">
        <f t="shared" si="119"/>
        <v>0</v>
      </c>
      <c r="AM78" s="156">
        <f t="shared" si="120"/>
        <v>0</v>
      </c>
      <c r="AN78" s="4"/>
      <c r="AO78" s="4"/>
    </row>
    <row r="79" spans="1:41" s="35" customFormat="1" ht="15.75" customHeight="1">
      <c r="A79" s="157" t="s">
        <v>246</v>
      </c>
      <c r="B79" s="105" t="s">
        <v>190</v>
      </c>
      <c r="C79" s="152"/>
      <c r="D79" s="155"/>
      <c r="E79" s="155"/>
      <c r="F79" s="155"/>
      <c r="G79" s="155"/>
      <c r="H79" s="155"/>
      <c r="I79" s="155"/>
      <c r="J79" s="155"/>
      <c r="K79" s="155">
        <v>0</v>
      </c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6"/>
      <c r="AC79" s="156"/>
      <c r="AD79" s="156"/>
      <c r="AE79" s="207"/>
      <c r="AF79" s="207"/>
      <c r="AG79" s="207"/>
      <c r="AH79" s="156"/>
      <c r="AI79" s="156"/>
      <c r="AJ79" s="156"/>
      <c r="AK79" s="156"/>
      <c r="AL79" s="156"/>
      <c r="AM79" s="156"/>
      <c r="AN79" s="4"/>
      <c r="AO79" s="4"/>
    </row>
    <row r="80" spans="1:41" s="35" customFormat="1" ht="15.75" customHeight="1">
      <c r="A80" s="167" t="s">
        <v>247</v>
      </c>
      <c r="B80" s="105"/>
      <c r="C80" s="152"/>
      <c r="D80" s="155"/>
      <c r="E80" s="155"/>
      <c r="F80" s="155"/>
      <c r="G80" s="155"/>
      <c r="H80" s="155"/>
      <c r="I80" s="155"/>
      <c r="J80" s="155">
        <v>0.6</v>
      </c>
      <c r="K80" s="155">
        <v>4.9200000000000001E-2</v>
      </c>
      <c r="L80" s="155">
        <f>K80*1.089</f>
        <v>5.3578799999999996E-2</v>
      </c>
      <c r="M80" s="155">
        <f>L80*1.053</f>
        <v>5.6418476399999994E-2</v>
      </c>
      <c r="N80" s="155">
        <f>M80*1.051</f>
        <v>5.9295818696399986E-2</v>
      </c>
      <c r="O80" s="155">
        <f>N80*1.047</f>
        <v>6.2082722175130785E-2</v>
      </c>
      <c r="P80" s="155">
        <v>0</v>
      </c>
      <c r="Q80" s="155">
        <v>0</v>
      </c>
      <c r="R80" s="155"/>
      <c r="S80" s="155"/>
      <c r="T80" s="155"/>
      <c r="U80" s="155"/>
      <c r="V80" s="155">
        <v>39</v>
      </c>
      <c r="W80" s="155">
        <v>41</v>
      </c>
      <c r="X80" s="155">
        <v>51</v>
      </c>
      <c r="Y80" s="155">
        <v>51</v>
      </c>
      <c r="Z80" s="155">
        <v>51</v>
      </c>
      <c r="AA80" s="155">
        <v>51</v>
      </c>
      <c r="AB80" s="156">
        <f>(AH80*1000000/V80)/12</f>
        <v>20512.820512820512</v>
      </c>
      <c r="AC80" s="156">
        <f t="shared" ref="AC80:AD80" si="126">(AI80*1000000/W80)/12</f>
        <v>20782.317073170732</v>
      </c>
      <c r="AD80" s="156">
        <f t="shared" si="126"/>
        <v>17793.330882352941</v>
      </c>
      <c r="AE80" s="207">
        <f t="shared" si="123"/>
        <v>18665.204095588233</v>
      </c>
      <c r="AF80" s="207">
        <f t="shared" si="124"/>
        <v>19505.138279889703</v>
      </c>
      <c r="AG80" s="207">
        <f t="shared" si="125"/>
        <v>20285.343811085291</v>
      </c>
      <c r="AH80" s="156">
        <v>9.6</v>
      </c>
      <c r="AI80" s="156">
        <v>10.2249</v>
      </c>
      <c r="AJ80" s="156">
        <f t="shared" ref="AJ80:AJ83" si="127">AI80*1.065</f>
        <v>10.889518499999999</v>
      </c>
      <c r="AK80" s="156">
        <f>AE80*Y80*12/1000000</f>
        <v>11.423104906499999</v>
      </c>
      <c r="AL80" s="156">
        <f t="shared" ref="AL80:AL84" si="128">AF80*Z80*12/1000000</f>
        <v>11.937144627292499</v>
      </c>
      <c r="AM80" s="156">
        <f t="shared" ref="AM80:AM84" si="129">AG80*AA80*12/1000000</f>
        <v>12.414630412384197</v>
      </c>
      <c r="AN80" s="4"/>
      <c r="AO80" s="4"/>
    </row>
    <row r="81" spans="1:41" s="35" customFormat="1" ht="15.75" customHeight="1">
      <c r="A81" s="173" t="s">
        <v>248</v>
      </c>
      <c r="B81" s="105" t="s">
        <v>197</v>
      </c>
      <c r="C81" s="152"/>
      <c r="D81" s="155"/>
      <c r="E81" s="155"/>
      <c r="F81" s="155"/>
      <c r="G81" s="155"/>
      <c r="H81" s="155"/>
      <c r="I81" s="155"/>
      <c r="J81" s="155">
        <v>0</v>
      </c>
      <c r="K81" s="155">
        <v>0</v>
      </c>
      <c r="L81" s="155"/>
      <c r="M81" s="155"/>
      <c r="N81" s="155"/>
      <c r="O81" s="155"/>
      <c r="P81" s="155">
        <v>0</v>
      </c>
      <c r="Q81" s="155">
        <v>0</v>
      </c>
      <c r="R81" s="155"/>
      <c r="S81" s="155"/>
      <c r="T81" s="155"/>
      <c r="U81" s="155"/>
      <c r="V81" s="155"/>
      <c r="W81" s="155">
        <v>1</v>
      </c>
      <c r="X81" s="155"/>
      <c r="Y81" s="155"/>
      <c r="Z81" s="155"/>
      <c r="AA81" s="155"/>
      <c r="AB81" s="156"/>
      <c r="AC81" s="156"/>
      <c r="AD81" s="156"/>
      <c r="AE81" s="207"/>
      <c r="AF81" s="207"/>
      <c r="AG81" s="207"/>
      <c r="AH81" s="156"/>
      <c r="AI81" s="156">
        <v>3.5999999999999997E-2</v>
      </c>
      <c r="AJ81" s="156">
        <f>AI81*1.065</f>
        <v>3.8339999999999992E-2</v>
      </c>
      <c r="AK81" s="156"/>
      <c r="AL81" s="156"/>
      <c r="AM81" s="156"/>
      <c r="AN81" s="4"/>
      <c r="AO81" s="4"/>
    </row>
    <row r="82" spans="1:41" s="35" customFormat="1" ht="15.75" customHeight="1">
      <c r="A82" s="173" t="s">
        <v>249</v>
      </c>
      <c r="B82" s="105"/>
      <c r="C82" s="152"/>
      <c r="D82" s="155"/>
      <c r="E82" s="155"/>
      <c r="F82" s="155"/>
      <c r="G82" s="155"/>
      <c r="H82" s="155"/>
      <c r="I82" s="155"/>
      <c r="J82" s="155"/>
      <c r="K82" s="155">
        <v>5.0979999999999999</v>
      </c>
      <c r="L82" s="155">
        <f>K82*1.089</f>
        <v>5.5517219999999998</v>
      </c>
      <c r="M82" s="155">
        <f>L82*1.053</f>
        <v>5.8459632659999992</v>
      </c>
      <c r="N82" s="155">
        <f>M82*1.051</f>
        <v>6.1441073925659984</v>
      </c>
      <c r="O82" s="155">
        <f>N82*1.047</f>
        <v>6.4328804400166</v>
      </c>
      <c r="P82" s="155"/>
      <c r="Q82" s="155">
        <v>9.0999999999999998E-2</v>
      </c>
      <c r="R82" s="155">
        <f>Q82*1.089</f>
        <v>9.9098999999999993E-2</v>
      </c>
      <c r="S82" s="155">
        <f>R82*1.053</f>
        <v>0.10435124699999998</v>
      </c>
      <c r="T82" s="155">
        <f>S82*1.051</f>
        <v>0.10967316059699997</v>
      </c>
      <c r="U82" s="155">
        <f>T82*1.047</f>
        <v>0.11482779914505896</v>
      </c>
      <c r="V82" s="155"/>
      <c r="W82" s="155">
        <v>3</v>
      </c>
      <c r="X82" s="155">
        <v>3</v>
      </c>
      <c r="Y82" s="155">
        <v>3</v>
      </c>
      <c r="Z82" s="155">
        <v>3</v>
      </c>
      <c r="AA82" s="155">
        <v>3</v>
      </c>
      <c r="AB82" s="156"/>
      <c r="AC82" s="156">
        <f t="shared" ref="AC82:AD85" si="130">(AI82*1000000/W82)/12</f>
        <v>13666.666666666666</v>
      </c>
      <c r="AD82" s="156">
        <f t="shared" si="130"/>
        <v>14555</v>
      </c>
      <c r="AE82" s="207">
        <f t="shared" si="123"/>
        <v>15268.195</v>
      </c>
      <c r="AF82" s="207">
        <f t="shared" si="124"/>
        <v>15955.263774999999</v>
      </c>
      <c r="AG82" s="207">
        <f t="shared" si="125"/>
        <v>16593.474326</v>
      </c>
      <c r="AH82" s="156"/>
      <c r="AI82" s="156">
        <v>0.49199999999999999</v>
      </c>
      <c r="AJ82" s="156">
        <f t="shared" si="127"/>
        <v>0.52398</v>
      </c>
      <c r="AK82" s="156">
        <f>AE82*Y82*12/1000000</f>
        <v>0.54965501999999999</v>
      </c>
      <c r="AL82" s="156">
        <f t="shared" si="128"/>
        <v>0.57438949589999999</v>
      </c>
      <c r="AM82" s="156">
        <f t="shared" si="129"/>
        <v>0.59736507573599995</v>
      </c>
      <c r="AN82" s="4"/>
      <c r="AO82" s="4"/>
    </row>
    <row r="83" spans="1:41" s="35" customFormat="1" ht="15.75" customHeight="1">
      <c r="A83" s="173" t="s">
        <v>250</v>
      </c>
      <c r="B83" s="105"/>
      <c r="C83" s="152"/>
      <c r="D83" s="155"/>
      <c r="E83" s="155"/>
      <c r="F83" s="155"/>
      <c r="G83" s="155"/>
      <c r="H83" s="155"/>
      <c r="I83" s="155"/>
      <c r="J83" s="155"/>
      <c r="K83" s="155">
        <v>8.7460000000000004</v>
      </c>
      <c r="L83" s="155">
        <f>K83*1.089</f>
        <v>9.5243940000000009</v>
      </c>
      <c r="M83" s="155">
        <f>L83*1.053</f>
        <v>10.029186882000001</v>
      </c>
      <c r="N83" s="155">
        <f>M83*1.051</f>
        <v>10.540675412982001</v>
      </c>
      <c r="O83" s="155">
        <f>N83*1.047</f>
        <v>11.036087157392155</v>
      </c>
      <c r="P83" s="155"/>
      <c r="Q83" s="155">
        <v>1.2230000000000001</v>
      </c>
      <c r="R83" s="155">
        <f>Q83*1.089</f>
        <v>1.331847</v>
      </c>
      <c r="S83" s="155">
        <f>R83*1.053</f>
        <v>1.402434891</v>
      </c>
      <c r="T83" s="155">
        <f>S83*1.051</f>
        <v>1.4739590704409999</v>
      </c>
      <c r="U83" s="155">
        <f>T83*1.047</f>
        <v>1.5432351467517269</v>
      </c>
      <c r="V83" s="155"/>
      <c r="W83" s="155">
        <v>8</v>
      </c>
      <c r="X83" s="155">
        <v>21</v>
      </c>
      <c r="Y83" s="155">
        <v>21</v>
      </c>
      <c r="Z83" s="155">
        <v>21</v>
      </c>
      <c r="AA83" s="155">
        <v>21</v>
      </c>
      <c r="AB83" s="156"/>
      <c r="AC83" s="156">
        <f t="shared" si="130"/>
        <v>7812.5</v>
      </c>
      <c r="AD83" s="156">
        <f t="shared" si="130"/>
        <v>3169.6428571428569</v>
      </c>
      <c r="AE83" s="207">
        <f t="shared" si="123"/>
        <v>3324.9553571428569</v>
      </c>
      <c r="AF83" s="207">
        <f t="shared" si="124"/>
        <v>3474.5783482142851</v>
      </c>
      <c r="AG83" s="207">
        <f t="shared" si="125"/>
        <v>3613.5614821428567</v>
      </c>
      <c r="AH83" s="156"/>
      <c r="AI83" s="156">
        <v>0.75</v>
      </c>
      <c r="AJ83" s="156">
        <f t="shared" si="127"/>
        <v>0.79874999999999996</v>
      </c>
      <c r="AK83" s="156">
        <f>AE83*Y83*12/1000000</f>
        <v>0.83788874999999996</v>
      </c>
      <c r="AL83" s="156">
        <f t="shared" si="128"/>
        <v>0.87559374374999976</v>
      </c>
      <c r="AM83" s="156">
        <f t="shared" si="129"/>
        <v>0.91061749349999987</v>
      </c>
      <c r="AN83" s="4"/>
      <c r="AO83" s="4"/>
    </row>
    <row r="84" spans="1:41" s="35" customFormat="1" ht="15.75" customHeight="1">
      <c r="A84" s="173" t="s">
        <v>74</v>
      </c>
      <c r="B84" s="105"/>
      <c r="C84" s="152"/>
      <c r="D84" s="155"/>
      <c r="E84" s="155"/>
      <c r="F84" s="155"/>
      <c r="G84" s="155"/>
      <c r="H84" s="155"/>
      <c r="I84" s="155"/>
      <c r="J84" s="155"/>
      <c r="K84" s="155">
        <v>0</v>
      </c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>
        <v>1312</v>
      </c>
      <c r="W84" s="155">
        <v>1398</v>
      </c>
      <c r="X84" s="155">
        <v>1499</v>
      </c>
      <c r="Y84" s="155">
        <v>1550</v>
      </c>
      <c r="Z84" s="155">
        <v>1550</v>
      </c>
      <c r="AA84" s="155">
        <v>1550</v>
      </c>
      <c r="AB84" s="156">
        <f>(AH84*1000000/V84)/12</f>
        <v>48093.87703252033</v>
      </c>
      <c r="AC84" s="156">
        <f t="shared" si="130"/>
        <v>49451.585598474012</v>
      </c>
      <c r="AD84" s="156">
        <f t="shared" si="130"/>
        <v>49488.547920836114</v>
      </c>
      <c r="AE84" s="207">
        <f t="shared" si="123"/>
        <v>51913.486768957082</v>
      </c>
      <c r="AF84" s="207">
        <f t="shared" si="124"/>
        <v>54249.59367356015</v>
      </c>
      <c r="AG84" s="207">
        <f t="shared" si="125"/>
        <v>56419.577420502559</v>
      </c>
      <c r="AH84" s="156">
        <v>757.19</v>
      </c>
      <c r="AI84" s="156">
        <v>829.59979999999996</v>
      </c>
      <c r="AJ84" s="156">
        <v>890.2</v>
      </c>
      <c r="AK84" s="156">
        <f>AE84*Y84*12/1000000</f>
        <v>965.59085390260168</v>
      </c>
      <c r="AL84" s="156">
        <f t="shared" si="128"/>
        <v>1009.0424423282187</v>
      </c>
      <c r="AM84" s="156">
        <f t="shared" si="129"/>
        <v>1049.4041400213475</v>
      </c>
      <c r="AN84" s="4"/>
      <c r="AO84" s="4"/>
    </row>
    <row r="85" spans="1:41" s="35" customFormat="1" ht="49.5" customHeight="1">
      <c r="A85" s="110" t="s">
        <v>90</v>
      </c>
      <c r="B85" s="124"/>
      <c r="C85" s="152"/>
      <c r="D85" s="154">
        <f t="shared" ref="D85" si="131">SUM(D87:D107)</f>
        <v>0</v>
      </c>
      <c r="E85" s="154">
        <f>SUM(E87:E107)</f>
        <v>0</v>
      </c>
      <c r="F85" s="154">
        <f t="shared" ref="F85:J85" si="132">SUM(F87:F107)</f>
        <v>0</v>
      </c>
      <c r="G85" s="154">
        <f t="shared" si="132"/>
        <v>0</v>
      </c>
      <c r="H85" s="154">
        <f t="shared" si="132"/>
        <v>0</v>
      </c>
      <c r="I85" s="176">
        <f t="shared" si="132"/>
        <v>0</v>
      </c>
      <c r="J85" s="154">
        <f t="shared" si="132"/>
        <v>445.1</v>
      </c>
      <c r="K85" s="154">
        <f>SUM(K87:K107)</f>
        <v>344.97090000000009</v>
      </c>
      <c r="L85" s="154">
        <f t="shared" ref="L85:AM85" si="133">SUM(L87:L107)</f>
        <v>361.52950320000008</v>
      </c>
      <c r="M85" s="154">
        <f t="shared" si="133"/>
        <v>380.32903736640003</v>
      </c>
      <c r="N85" s="154">
        <f t="shared" si="133"/>
        <v>396.3028569357889</v>
      </c>
      <c r="O85" s="176">
        <f t="shared" si="133"/>
        <v>412.94757692709203</v>
      </c>
      <c r="P85" s="154">
        <f t="shared" si="133"/>
        <v>24.659999999999997</v>
      </c>
      <c r="Q85" s="154">
        <f t="shared" si="133"/>
        <v>18.772600000000001</v>
      </c>
      <c r="R85" s="154">
        <f t="shared" si="133"/>
        <v>19.6736848</v>
      </c>
      <c r="S85" s="154">
        <f t="shared" si="133"/>
        <v>20.6967164096</v>
      </c>
      <c r="T85" s="154">
        <f t="shared" si="133"/>
        <v>21.565978498803201</v>
      </c>
      <c r="U85" s="176">
        <f t="shared" si="133"/>
        <v>22.471749595752932</v>
      </c>
      <c r="V85" s="154">
        <f t="shared" si="133"/>
        <v>114</v>
      </c>
      <c r="W85" s="154">
        <f t="shared" si="133"/>
        <v>157</v>
      </c>
      <c r="X85" s="154">
        <f t="shared" si="133"/>
        <v>133</v>
      </c>
      <c r="Y85" s="154">
        <f t="shared" si="133"/>
        <v>130</v>
      </c>
      <c r="Z85" s="154">
        <f t="shared" si="133"/>
        <v>130</v>
      </c>
      <c r="AA85" s="154">
        <f t="shared" si="133"/>
        <v>130</v>
      </c>
      <c r="AB85" s="159">
        <f>(AH85*1000000/V85)/12</f>
        <v>7383.040935672514</v>
      </c>
      <c r="AC85" s="159">
        <f t="shared" si="130"/>
        <v>9143.47133757962</v>
      </c>
      <c r="AD85" s="159">
        <f t="shared" si="130"/>
        <v>11494.993421052632</v>
      </c>
      <c r="AE85" s="159">
        <f t="shared" si="123"/>
        <v>12058.248098684209</v>
      </c>
      <c r="AF85" s="159">
        <f t="shared" si="124"/>
        <v>12600.869263124998</v>
      </c>
      <c r="AG85" s="159">
        <f t="shared" si="125"/>
        <v>13104.904033649998</v>
      </c>
      <c r="AH85" s="159">
        <f t="shared" ref="AH85" si="134">SUM(AH87:AH107)</f>
        <v>10.1</v>
      </c>
      <c r="AI85" s="159">
        <f t="shared" si="133"/>
        <v>17.226300000000002</v>
      </c>
      <c r="AJ85" s="159">
        <f t="shared" si="133"/>
        <v>18.346009500000001</v>
      </c>
      <c r="AK85" s="159">
        <f t="shared" si="133"/>
        <v>18.867930921602959</v>
      </c>
      <c r="AL85" s="159">
        <f t="shared" si="133"/>
        <v>19.716987813075093</v>
      </c>
      <c r="AM85" s="159">
        <f t="shared" si="133"/>
        <v>20.505667325598097</v>
      </c>
      <c r="AN85" s="4"/>
      <c r="AO85" s="4"/>
    </row>
    <row r="86" spans="1:41" s="35" customFormat="1" ht="15.75" customHeight="1">
      <c r="A86" s="31" t="s">
        <v>95</v>
      </c>
      <c r="B86" s="105"/>
      <c r="C86" s="152"/>
      <c r="D86" s="30"/>
      <c r="E86" s="30"/>
      <c r="F86" s="30"/>
      <c r="G86" s="30"/>
      <c r="H86" s="30"/>
      <c r="I86" s="30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77"/>
      <c r="V86" s="155"/>
      <c r="W86" s="155"/>
      <c r="X86" s="155"/>
      <c r="Y86" s="155"/>
      <c r="Z86" s="155"/>
      <c r="AA86" s="155"/>
      <c r="AB86" s="156"/>
      <c r="AC86" s="156"/>
      <c r="AD86" s="156"/>
      <c r="AE86" s="207"/>
      <c r="AF86" s="207"/>
      <c r="AG86" s="207"/>
      <c r="AH86" s="156"/>
      <c r="AI86" s="156"/>
      <c r="AJ86" s="156"/>
      <c r="AK86" s="156"/>
      <c r="AL86" s="156"/>
      <c r="AM86" s="156"/>
      <c r="AN86" s="4"/>
      <c r="AO86" s="4"/>
    </row>
    <row r="87" spans="1:41" s="35" customFormat="1" ht="15.75" customHeight="1">
      <c r="A87" s="157" t="s">
        <v>251</v>
      </c>
      <c r="B87" s="105"/>
      <c r="C87" s="152"/>
      <c r="D87" s="155"/>
      <c r="E87" s="155"/>
      <c r="F87" s="155"/>
      <c r="G87" s="155"/>
      <c r="H87" s="155"/>
      <c r="I87" s="155"/>
      <c r="J87" s="155">
        <v>13.32</v>
      </c>
      <c r="K87" s="155">
        <v>16.161999999999999</v>
      </c>
      <c r="L87" s="155">
        <f>K87*1.048</f>
        <v>16.937775999999999</v>
      </c>
      <c r="M87" s="155">
        <f>L87*1.052</f>
        <v>17.818540351999999</v>
      </c>
      <c r="N87" s="155">
        <f>M87*1.042</f>
        <v>18.566919046784001</v>
      </c>
      <c r="O87" s="177">
        <f>N87*1.042</f>
        <v>19.34672964674893</v>
      </c>
      <c r="P87" s="155">
        <v>0.06</v>
      </c>
      <c r="Q87" s="155">
        <v>1.984</v>
      </c>
      <c r="R87" s="155">
        <f>Q87*1.048</f>
        <v>2.0792320000000002</v>
      </c>
      <c r="S87" s="155">
        <f>R87*1.052</f>
        <v>2.1873520640000002</v>
      </c>
      <c r="T87" s="155">
        <f>S87*1.042</f>
        <v>2.2792208506880001</v>
      </c>
      <c r="U87" s="177">
        <f>T87*1.042</f>
        <v>2.3749481264168963</v>
      </c>
      <c r="V87" s="155">
        <v>29</v>
      </c>
      <c r="W87" s="155">
        <v>21</v>
      </c>
      <c r="X87" s="155">
        <v>10</v>
      </c>
      <c r="Y87" s="155">
        <v>10</v>
      </c>
      <c r="Z87" s="155">
        <v>10</v>
      </c>
      <c r="AA87" s="155">
        <v>10</v>
      </c>
      <c r="AB87" s="156">
        <f>(AH87*1000000/V87)/12</f>
        <v>7586.2068965517246</v>
      </c>
      <c r="AC87" s="156">
        <f t="shared" ref="AC87:AD98" si="135">(AI87*1000000/W87)/12</f>
        <v>10662.698412698412</v>
      </c>
      <c r="AD87" s="156">
        <f t="shared" si="135"/>
        <v>23847.125</v>
      </c>
      <c r="AE87" s="207">
        <f t="shared" si="123"/>
        <v>25015.634124999997</v>
      </c>
      <c r="AF87" s="207">
        <f t="shared" si="124"/>
        <v>26141.337660624995</v>
      </c>
      <c r="AG87" s="207">
        <f t="shared" si="125"/>
        <v>27186.991167049997</v>
      </c>
      <c r="AH87" s="156">
        <v>2.64</v>
      </c>
      <c r="AI87" s="156">
        <v>2.6869999999999998</v>
      </c>
      <c r="AJ87" s="156">
        <f t="shared" ref="AJ87:AJ107" si="136">AI87*1.065</f>
        <v>2.8616549999999998</v>
      </c>
      <c r="AK87" s="156">
        <f>AE87*Y87*12/1000000</f>
        <v>3.0018760949999996</v>
      </c>
      <c r="AL87" s="156">
        <f t="shared" ref="AL87:AL89" si="137">AF87*Z87*12/1000000</f>
        <v>3.1369605192749992</v>
      </c>
      <c r="AM87" s="156">
        <f t="shared" ref="AM87:AM89" si="138">AG87*AA87*12/1000000</f>
        <v>3.2624389400459992</v>
      </c>
      <c r="AN87" s="4"/>
      <c r="AO87" s="4"/>
    </row>
    <row r="88" spans="1:41" s="35" customFormat="1" ht="15.75" customHeight="1">
      <c r="A88" s="157" t="s">
        <v>252</v>
      </c>
      <c r="B88" s="105"/>
      <c r="C88" s="152"/>
      <c r="D88" s="155"/>
      <c r="E88" s="155"/>
      <c r="F88" s="155"/>
      <c r="G88" s="155"/>
      <c r="H88" s="155"/>
      <c r="I88" s="155"/>
      <c r="J88" s="155">
        <v>94.2</v>
      </c>
      <c r="K88" s="155">
        <v>54.466999999999999</v>
      </c>
      <c r="L88" s="155">
        <f>K88*1.048</f>
        <v>57.081416000000004</v>
      </c>
      <c r="M88" s="155">
        <f>L88*1.052</f>
        <v>60.049649632000005</v>
      </c>
      <c r="N88" s="155">
        <f>M88*1.042</f>
        <v>62.57173491654401</v>
      </c>
      <c r="O88" s="177">
        <f t="shared" ref="O88:O106" si="139">N88*1.042</f>
        <v>65.199747783038859</v>
      </c>
      <c r="P88" s="155">
        <v>0.4</v>
      </c>
      <c r="Q88" s="155">
        <v>0.65200000000000002</v>
      </c>
      <c r="R88" s="155">
        <f>Q88*1.048</f>
        <v>0.68329600000000001</v>
      </c>
      <c r="S88" s="155">
        <f>R88*1.052</f>
        <v>0.71882739200000001</v>
      </c>
      <c r="T88" s="155">
        <f>S88*1.042</f>
        <v>0.749018142464</v>
      </c>
      <c r="U88" s="177">
        <f t="shared" ref="U88:U106" si="140">T88*1.042</f>
        <v>0.78047690444748807</v>
      </c>
      <c r="V88" s="155">
        <v>5</v>
      </c>
      <c r="W88" s="155">
        <v>32</v>
      </c>
      <c r="X88" s="155">
        <v>28</v>
      </c>
      <c r="Y88" s="155">
        <v>27</v>
      </c>
      <c r="Z88" s="155">
        <v>27</v>
      </c>
      <c r="AA88" s="155">
        <v>27</v>
      </c>
      <c r="AB88" s="156">
        <f t="shared" ref="AB88:AB108" si="141">(AH88*1000000/V88)/12</f>
        <v>6666.666666666667</v>
      </c>
      <c r="AC88" s="156">
        <f t="shared" si="135"/>
        <v>5797.65625</v>
      </c>
      <c r="AD88" s="156">
        <f t="shared" si="135"/>
        <v>7056.5758928571422</v>
      </c>
      <c r="AE88" s="207">
        <f t="shared" si="123"/>
        <v>7402.3481116071416</v>
      </c>
      <c r="AF88" s="207">
        <f t="shared" si="124"/>
        <v>7735.4537766294625</v>
      </c>
      <c r="AG88" s="207">
        <f t="shared" si="125"/>
        <v>8044.8719276946413</v>
      </c>
      <c r="AH88" s="156">
        <v>0.4</v>
      </c>
      <c r="AI88" s="156">
        <v>2.2263000000000002</v>
      </c>
      <c r="AJ88" s="156">
        <f t="shared" si="136"/>
        <v>2.3710095</v>
      </c>
      <c r="AK88" s="156">
        <f>AE88*Y88*12/1000000</f>
        <v>2.3983607881607139</v>
      </c>
      <c r="AL88" s="156">
        <f t="shared" si="137"/>
        <v>2.5062870236279462</v>
      </c>
      <c r="AM88" s="156">
        <f t="shared" si="138"/>
        <v>2.6065385045730638</v>
      </c>
      <c r="AN88" s="4"/>
      <c r="AO88" s="4"/>
    </row>
    <row r="89" spans="1:41" s="35" customFormat="1" ht="15.75" customHeight="1">
      <c r="A89" s="157" t="s">
        <v>253</v>
      </c>
      <c r="B89" s="105"/>
      <c r="C89" s="152"/>
      <c r="D89" s="155"/>
      <c r="E89" s="155"/>
      <c r="F89" s="155"/>
      <c r="G89" s="155"/>
      <c r="H89" s="155"/>
      <c r="I89" s="155"/>
      <c r="J89" s="155">
        <v>22.6</v>
      </c>
      <c r="K89" s="155">
        <v>7.7</v>
      </c>
      <c r="L89" s="155">
        <f>K89*1.048</f>
        <v>8.0696000000000012</v>
      </c>
      <c r="M89" s="155">
        <f>L89*1.052</f>
        <v>8.4892192000000009</v>
      </c>
      <c r="N89" s="155">
        <f>M89*1.042</f>
        <v>8.845766406400001</v>
      </c>
      <c r="O89" s="177">
        <f t="shared" si="139"/>
        <v>9.2172885954688013</v>
      </c>
      <c r="P89" s="155">
        <v>0.25</v>
      </c>
      <c r="Q89" s="155">
        <v>1.2969999999999999</v>
      </c>
      <c r="R89" s="155">
        <f>Q89*1.048</f>
        <v>1.359256</v>
      </c>
      <c r="S89" s="155">
        <f>R89*1.052</f>
        <v>1.4299373120000001</v>
      </c>
      <c r="T89" s="155">
        <f>S89*1.042</f>
        <v>1.4899946791040002</v>
      </c>
      <c r="U89" s="177">
        <f t="shared" si="140"/>
        <v>1.5525744556263683</v>
      </c>
      <c r="V89" s="155">
        <v>6</v>
      </c>
      <c r="W89" s="155">
        <v>6</v>
      </c>
      <c r="X89" s="155">
        <v>6</v>
      </c>
      <c r="Y89" s="155">
        <v>6</v>
      </c>
      <c r="Z89" s="155">
        <v>6</v>
      </c>
      <c r="AA89" s="155">
        <v>6</v>
      </c>
      <c r="AB89" s="156">
        <f t="shared" si="141"/>
        <v>6388.8888888888896</v>
      </c>
      <c r="AC89" s="156">
        <f t="shared" si="135"/>
        <v>12333.333333333334</v>
      </c>
      <c r="AD89" s="156">
        <f t="shared" si="135"/>
        <v>13135</v>
      </c>
      <c r="AE89" s="207">
        <f t="shared" si="123"/>
        <v>13778.615</v>
      </c>
      <c r="AF89" s="207">
        <f t="shared" si="124"/>
        <v>14398.652674999999</v>
      </c>
      <c r="AG89" s="207">
        <f t="shared" si="125"/>
        <v>14974.598781999999</v>
      </c>
      <c r="AH89" s="156">
        <v>0.46</v>
      </c>
      <c r="AI89" s="156">
        <v>0.88800000000000001</v>
      </c>
      <c r="AJ89" s="156">
        <f t="shared" si="136"/>
        <v>0.94572000000000001</v>
      </c>
      <c r="AK89" s="156">
        <f>AE89*Y89*12/1000000</f>
        <v>0.99206028000000002</v>
      </c>
      <c r="AL89" s="156">
        <f t="shared" si="137"/>
        <v>1.0367029926</v>
      </c>
      <c r="AM89" s="156">
        <f t="shared" si="138"/>
        <v>1.0781711123039999</v>
      </c>
      <c r="AN89" s="4"/>
      <c r="AO89" s="4"/>
    </row>
    <row r="90" spans="1:41" s="35" customFormat="1" ht="15.75" customHeight="1">
      <c r="A90" s="157" t="s">
        <v>254</v>
      </c>
      <c r="B90" s="105" t="s">
        <v>197</v>
      </c>
      <c r="C90" s="152"/>
      <c r="D90" s="155"/>
      <c r="E90" s="155"/>
      <c r="F90" s="155"/>
      <c r="G90" s="155"/>
      <c r="H90" s="155"/>
      <c r="I90" s="155"/>
      <c r="J90" s="155">
        <v>1.65</v>
      </c>
      <c r="K90" s="155">
        <v>0</v>
      </c>
      <c r="L90" s="155"/>
      <c r="M90" s="155"/>
      <c r="N90" s="155"/>
      <c r="O90" s="177"/>
      <c r="P90" s="155">
        <v>0.8</v>
      </c>
      <c r="Q90" s="155">
        <v>0</v>
      </c>
      <c r="R90" s="155"/>
      <c r="S90" s="155"/>
      <c r="T90" s="155"/>
      <c r="U90" s="177"/>
      <c r="V90" s="155">
        <v>1</v>
      </c>
      <c r="W90" s="155"/>
      <c r="X90" s="155"/>
      <c r="Y90" s="155"/>
      <c r="Z90" s="155"/>
      <c r="AA90" s="155"/>
      <c r="AB90" s="156">
        <f t="shared" si="141"/>
        <v>8333.3333333333339</v>
      </c>
      <c r="AC90" s="156"/>
      <c r="AD90" s="156"/>
      <c r="AE90" s="207"/>
      <c r="AF90" s="207"/>
      <c r="AG90" s="207"/>
      <c r="AH90" s="156">
        <v>0.1</v>
      </c>
      <c r="AI90" s="156">
        <v>0</v>
      </c>
      <c r="AJ90" s="156"/>
      <c r="AK90" s="156"/>
      <c r="AL90" s="156"/>
      <c r="AM90" s="156"/>
      <c r="AN90" s="4"/>
      <c r="AO90" s="4"/>
    </row>
    <row r="91" spans="1:41" s="35" customFormat="1" ht="15.75" customHeight="1">
      <c r="A91" s="157" t="s">
        <v>255</v>
      </c>
      <c r="B91" s="105" t="s">
        <v>197</v>
      </c>
      <c r="C91" s="152"/>
      <c r="D91" s="155"/>
      <c r="E91" s="155"/>
      <c r="F91" s="155"/>
      <c r="G91" s="155"/>
      <c r="H91" s="155"/>
      <c r="I91" s="155"/>
      <c r="J91" s="155">
        <v>0</v>
      </c>
      <c r="K91" s="155">
        <v>0</v>
      </c>
      <c r="L91" s="155"/>
      <c r="M91" s="155"/>
      <c r="N91" s="155"/>
      <c r="O91" s="177"/>
      <c r="P91" s="155">
        <v>0</v>
      </c>
      <c r="Q91" s="155"/>
      <c r="R91" s="155"/>
      <c r="S91" s="155"/>
      <c r="T91" s="155"/>
      <c r="U91" s="177"/>
      <c r="V91" s="155">
        <v>0</v>
      </c>
      <c r="W91" s="155"/>
      <c r="X91" s="155"/>
      <c r="Y91" s="155"/>
      <c r="Z91" s="155"/>
      <c r="AA91" s="155"/>
      <c r="AB91" s="156"/>
      <c r="AC91" s="156"/>
      <c r="AD91" s="156"/>
      <c r="AE91" s="207"/>
      <c r="AF91" s="207"/>
      <c r="AG91" s="207"/>
      <c r="AH91" s="156">
        <v>0</v>
      </c>
      <c r="AI91" s="156">
        <v>0</v>
      </c>
      <c r="AJ91" s="156"/>
      <c r="AK91" s="156"/>
      <c r="AL91" s="156"/>
      <c r="AM91" s="156"/>
      <c r="AN91" s="4"/>
      <c r="AO91" s="4"/>
    </row>
    <row r="92" spans="1:41" s="35" customFormat="1" ht="15.75" customHeight="1">
      <c r="A92" s="157" t="s">
        <v>256</v>
      </c>
      <c r="B92" s="105" t="s">
        <v>190</v>
      </c>
      <c r="C92" s="152"/>
      <c r="D92" s="155"/>
      <c r="E92" s="155"/>
      <c r="F92" s="155"/>
      <c r="G92" s="155"/>
      <c r="H92" s="155"/>
      <c r="I92" s="155"/>
      <c r="J92" s="155"/>
      <c r="K92" s="155">
        <v>0</v>
      </c>
      <c r="L92" s="155"/>
      <c r="M92" s="155"/>
      <c r="N92" s="155"/>
      <c r="O92" s="177"/>
      <c r="P92" s="155"/>
      <c r="Q92" s="155"/>
      <c r="R92" s="155"/>
      <c r="S92" s="155"/>
      <c r="T92" s="155"/>
      <c r="U92" s="177"/>
      <c r="V92" s="155"/>
      <c r="W92" s="155"/>
      <c r="X92" s="155"/>
      <c r="Y92" s="155"/>
      <c r="Z92" s="155"/>
      <c r="AA92" s="155"/>
      <c r="AB92" s="156"/>
      <c r="AC92" s="156"/>
      <c r="AD92" s="156"/>
      <c r="AE92" s="207"/>
      <c r="AF92" s="207"/>
      <c r="AG92" s="207"/>
      <c r="AH92" s="156">
        <v>0</v>
      </c>
      <c r="AI92" s="156">
        <v>0</v>
      </c>
      <c r="AJ92" s="156"/>
      <c r="AK92" s="156"/>
      <c r="AL92" s="156"/>
      <c r="AM92" s="156"/>
      <c r="AN92" s="4"/>
      <c r="AO92" s="4"/>
    </row>
    <row r="93" spans="1:41" s="35" customFormat="1" ht="15.75" customHeight="1">
      <c r="A93" s="157" t="s">
        <v>257</v>
      </c>
      <c r="B93" s="105"/>
      <c r="C93" s="152"/>
      <c r="D93" s="155"/>
      <c r="E93" s="155"/>
      <c r="F93" s="155"/>
      <c r="G93" s="155"/>
      <c r="H93" s="155"/>
      <c r="I93" s="155"/>
      <c r="J93" s="155"/>
      <c r="K93" s="155">
        <v>0</v>
      </c>
      <c r="L93" s="155"/>
      <c r="M93" s="155"/>
      <c r="N93" s="155"/>
      <c r="O93" s="177"/>
      <c r="P93" s="155"/>
      <c r="Q93" s="155"/>
      <c r="R93" s="155"/>
      <c r="S93" s="155"/>
      <c r="T93" s="155"/>
      <c r="U93" s="177"/>
      <c r="V93" s="155"/>
      <c r="W93" s="155"/>
      <c r="X93" s="155"/>
      <c r="Y93" s="155"/>
      <c r="Z93" s="155"/>
      <c r="AA93" s="155"/>
      <c r="AB93" s="156"/>
      <c r="AC93" s="156"/>
      <c r="AD93" s="156"/>
      <c r="AE93" s="207"/>
      <c r="AF93" s="207"/>
      <c r="AG93" s="207"/>
      <c r="AH93" s="156">
        <v>0</v>
      </c>
      <c r="AI93" s="156">
        <v>0</v>
      </c>
      <c r="AJ93" s="156"/>
      <c r="AK93" s="156"/>
      <c r="AL93" s="156"/>
      <c r="AM93" s="156"/>
      <c r="AN93" s="4"/>
      <c r="AO93" s="4"/>
    </row>
    <row r="94" spans="1:41" s="35" customFormat="1" ht="15.75" customHeight="1">
      <c r="A94" s="157" t="s">
        <v>258</v>
      </c>
      <c r="B94" s="105"/>
      <c r="C94" s="152"/>
      <c r="D94" s="155"/>
      <c r="E94" s="155"/>
      <c r="F94" s="155"/>
      <c r="G94" s="155"/>
      <c r="H94" s="155"/>
      <c r="I94" s="155"/>
      <c r="J94" s="155"/>
      <c r="K94" s="155">
        <v>0</v>
      </c>
      <c r="L94" s="155"/>
      <c r="M94" s="155"/>
      <c r="N94" s="155"/>
      <c r="O94" s="177"/>
      <c r="P94" s="155"/>
      <c r="Q94" s="155"/>
      <c r="R94" s="155"/>
      <c r="S94" s="155"/>
      <c r="T94" s="155"/>
      <c r="U94" s="177"/>
      <c r="V94" s="155"/>
      <c r="W94" s="155"/>
      <c r="X94" s="155"/>
      <c r="Y94" s="155"/>
      <c r="Z94" s="155"/>
      <c r="AA94" s="155"/>
      <c r="AB94" s="156"/>
      <c r="AC94" s="156"/>
      <c r="AD94" s="156"/>
      <c r="AE94" s="207"/>
      <c r="AF94" s="207"/>
      <c r="AG94" s="207"/>
      <c r="AH94" s="156">
        <v>0</v>
      </c>
      <c r="AI94" s="156">
        <v>0</v>
      </c>
      <c r="AJ94" s="156"/>
      <c r="AK94" s="156"/>
      <c r="AL94" s="156"/>
      <c r="AM94" s="156"/>
      <c r="AN94" s="4"/>
      <c r="AO94" s="4"/>
    </row>
    <row r="95" spans="1:41" s="35" customFormat="1" ht="15.75" customHeight="1">
      <c r="A95" s="157" t="s">
        <v>259</v>
      </c>
      <c r="B95" s="105"/>
      <c r="C95" s="152"/>
      <c r="D95" s="155"/>
      <c r="E95" s="155"/>
      <c r="F95" s="155"/>
      <c r="G95" s="155"/>
      <c r="H95" s="155"/>
      <c r="I95" s="155"/>
      <c r="J95" s="155">
        <v>41.6</v>
      </c>
      <c r="K95" s="155">
        <v>20.999400000000001</v>
      </c>
      <c r="L95" s="155">
        <f>K95*1.048</f>
        <v>22.007371200000001</v>
      </c>
      <c r="M95" s="155">
        <f>L95*1.052</f>
        <v>23.151754502400003</v>
      </c>
      <c r="N95" s="155">
        <f>M95*1.042</f>
        <v>24.124128191500805</v>
      </c>
      <c r="O95" s="177">
        <f t="shared" si="139"/>
        <v>25.137341575543839</v>
      </c>
      <c r="P95" s="155">
        <v>2.1</v>
      </c>
      <c r="Q95" s="155">
        <v>2.2164000000000001</v>
      </c>
      <c r="R95" s="155">
        <f>Q95*1.048</f>
        <v>2.3227872000000001</v>
      </c>
      <c r="S95" s="155">
        <f>R95*1.052</f>
        <v>2.4435721344000001</v>
      </c>
      <c r="T95" s="155">
        <f>S95*1.042</f>
        <v>2.5462021640448</v>
      </c>
      <c r="U95" s="177">
        <f t="shared" si="140"/>
        <v>2.6531426549346819</v>
      </c>
      <c r="V95" s="155">
        <v>28</v>
      </c>
      <c r="W95" s="155">
        <v>28</v>
      </c>
      <c r="X95" s="155">
        <v>28</v>
      </c>
      <c r="Y95" s="155">
        <v>27</v>
      </c>
      <c r="Z95" s="155">
        <v>27</v>
      </c>
      <c r="AA95" s="155">
        <v>27</v>
      </c>
      <c r="AB95" s="156">
        <f t="shared" si="141"/>
        <v>6845.2380952380954</v>
      </c>
      <c r="AC95" s="156">
        <f t="shared" si="135"/>
        <v>11488.095238095239</v>
      </c>
      <c r="AD95" s="156">
        <f t="shared" si="135"/>
        <v>12234.821428571428</v>
      </c>
      <c r="AE95" s="207">
        <f t="shared" si="123"/>
        <v>12834.327678571426</v>
      </c>
      <c r="AF95" s="207">
        <f t="shared" si="124"/>
        <v>13411.87242410714</v>
      </c>
      <c r="AG95" s="207">
        <f t="shared" si="125"/>
        <v>13948.347321071426</v>
      </c>
      <c r="AH95" s="156">
        <v>2.2999999999999998</v>
      </c>
      <c r="AI95" s="156">
        <v>3.86</v>
      </c>
      <c r="AJ95" s="156">
        <f t="shared" si="136"/>
        <v>4.1109</v>
      </c>
      <c r="AK95" s="156">
        <f>AE95*Y95*12/1000000</f>
        <v>4.1583221678571416</v>
      </c>
      <c r="AL95" s="156">
        <f t="shared" ref="AL95:AL98" si="142">AF95*Z95*12/1000000</f>
        <v>4.3454466654107131</v>
      </c>
      <c r="AM95" s="156">
        <f t="shared" ref="AM95:AM98" si="143">AG95*AA95*12/1000000</f>
        <v>4.5192645320271421</v>
      </c>
      <c r="AN95" s="4"/>
      <c r="AO95" s="4"/>
    </row>
    <row r="96" spans="1:41" s="35" customFormat="1" ht="15.75" customHeight="1">
      <c r="A96" s="157" t="s">
        <v>260</v>
      </c>
      <c r="B96" s="105"/>
      <c r="C96" s="152"/>
      <c r="D96" s="155"/>
      <c r="E96" s="155"/>
      <c r="F96" s="155"/>
      <c r="G96" s="155"/>
      <c r="H96" s="155"/>
      <c r="I96" s="155"/>
      <c r="J96" s="155">
        <v>261.89999999999998</v>
      </c>
      <c r="K96" s="155">
        <v>237.31100000000001</v>
      </c>
      <c r="L96" s="155">
        <f>K96*1.048</f>
        <v>248.70192800000001</v>
      </c>
      <c r="M96" s="155">
        <f>L96*1.052</f>
        <v>261.63442825600004</v>
      </c>
      <c r="N96" s="155">
        <f>M96*1.042</f>
        <v>272.62307424275207</v>
      </c>
      <c r="O96" s="177">
        <f t="shared" si="139"/>
        <v>284.07324336094769</v>
      </c>
      <c r="P96" s="155">
        <v>19.899999999999999</v>
      </c>
      <c r="Q96" s="155">
        <v>11.167</v>
      </c>
      <c r="R96" s="155">
        <f>Q96*1.048</f>
        <v>11.703016</v>
      </c>
      <c r="S96" s="155">
        <f>R96*1.052</f>
        <v>12.311572832</v>
      </c>
      <c r="T96" s="155">
        <f>S96*1.042</f>
        <v>12.828658890944</v>
      </c>
      <c r="U96" s="177">
        <f t="shared" si="140"/>
        <v>13.367462564363649</v>
      </c>
      <c r="V96" s="155">
        <v>34</v>
      </c>
      <c r="W96" s="155">
        <v>56</v>
      </c>
      <c r="X96" s="155">
        <v>47</v>
      </c>
      <c r="Y96" s="155">
        <v>46</v>
      </c>
      <c r="Z96" s="155">
        <v>46</v>
      </c>
      <c r="AA96" s="155">
        <v>46</v>
      </c>
      <c r="AB96" s="156">
        <f t="shared" si="141"/>
        <v>7352.9411764705883</v>
      </c>
      <c r="AC96" s="156">
        <f t="shared" si="135"/>
        <v>8401.0416666666661</v>
      </c>
      <c r="AD96" s="156">
        <f t="shared" si="135"/>
        <v>10660.385638297872</v>
      </c>
      <c r="AE96" s="207">
        <f t="shared" si="123"/>
        <v>11182.744534574467</v>
      </c>
      <c r="AF96" s="207">
        <f t="shared" si="124"/>
        <v>11685.968038630317</v>
      </c>
      <c r="AG96" s="207">
        <f t="shared" si="125"/>
        <v>12153.406760175531</v>
      </c>
      <c r="AH96" s="156">
        <v>3</v>
      </c>
      <c r="AI96" s="156">
        <v>5.6455000000000002</v>
      </c>
      <c r="AJ96" s="156">
        <f t="shared" si="136"/>
        <v>6.0124575</v>
      </c>
      <c r="AK96" s="156">
        <f>AE96*Y96*12/1000000</f>
        <v>6.1728749830851051</v>
      </c>
      <c r="AL96" s="156">
        <f t="shared" si="142"/>
        <v>6.450654357323935</v>
      </c>
      <c r="AM96" s="156">
        <f t="shared" si="143"/>
        <v>6.7086805316168929</v>
      </c>
      <c r="AN96" s="4"/>
      <c r="AO96" s="4"/>
    </row>
    <row r="97" spans="1:41" s="35" customFormat="1" ht="15.75" customHeight="1">
      <c r="A97" s="157" t="s">
        <v>261</v>
      </c>
      <c r="B97" s="105"/>
      <c r="C97" s="152"/>
      <c r="D97" s="155"/>
      <c r="E97" s="155"/>
      <c r="F97" s="155"/>
      <c r="G97" s="155"/>
      <c r="H97" s="155"/>
      <c r="I97" s="155"/>
      <c r="J97" s="155">
        <v>1.17</v>
      </c>
      <c r="K97" s="155">
        <v>1.2829999999999999</v>
      </c>
      <c r="L97" s="155">
        <f>K97*1.048</f>
        <v>1.344584</v>
      </c>
      <c r="M97" s="155">
        <f>L97*1.052</f>
        <v>1.414502368</v>
      </c>
      <c r="N97" s="155">
        <f>M97*1.042</f>
        <v>1.4739114674560001</v>
      </c>
      <c r="O97" s="177">
        <f t="shared" si="139"/>
        <v>1.5358157490891522</v>
      </c>
      <c r="P97" s="155">
        <v>0</v>
      </c>
      <c r="Q97" s="155">
        <v>0</v>
      </c>
      <c r="R97" s="155"/>
      <c r="S97" s="155"/>
      <c r="T97" s="155"/>
      <c r="U97" s="177">
        <f t="shared" si="140"/>
        <v>0</v>
      </c>
      <c r="V97" s="155">
        <v>2</v>
      </c>
      <c r="W97" s="155">
        <v>2</v>
      </c>
      <c r="X97" s="155">
        <v>2</v>
      </c>
      <c r="Y97" s="155">
        <v>2</v>
      </c>
      <c r="Z97" s="155">
        <v>2</v>
      </c>
      <c r="AA97" s="155">
        <v>2</v>
      </c>
      <c r="AB97" s="156">
        <f t="shared" si="141"/>
        <v>10000</v>
      </c>
      <c r="AC97" s="156">
        <f t="shared" si="135"/>
        <v>9800</v>
      </c>
      <c r="AD97" s="156">
        <f t="shared" si="135"/>
        <v>10437</v>
      </c>
      <c r="AE97" s="207">
        <f t="shared" si="123"/>
        <v>10948.412999999999</v>
      </c>
      <c r="AF97" s="207">
        <f t="shared" si="124"/>
        <v>11441.091584999998</v>
      </c>
      <c r="AG97" s="207">
        <f t="shared" si="125"/>
        <v>11898.735248399998</v>
      </c>
      <c r="AH97" s="156">
        <v>0.24</v>
      </c>
      <c r="AI97" s="156">
        <v>0.23519999999999999</v>
      </c>
      <c r="AJ97" s="156">
        <f t="shared" si="136"/>
        <v>0.25048799999999999</v>
      </c>
      <c r="AK97" s="156">
        <f>AE97*Y97*12/1000000</f>
        <v>0.26276191199999993</v>
      </c>
      <c r="AL97" s="156">
        <f t="shared" si="142"/>
        <v>0.27458619803999995</v>
      </c>
      <c r="AM97" s="156">
        <f t="shared" si="143"/>
        <v>0.28556964596159995</v>
      </c>
      <c r="AN97" s="4"/>
      <c r="AO97" s="4"/>
    </row>
    <row r="98" spans="1:41" s="35" customFormat="1" ht="15.75" customHeight="1">
      <c r="A98" s="157" t="s">
        <v>262</v>
      </c>
      <c r="B98" s="105"/>
      <c r="C98" s="152"/>
      <c r="D98" s="155"/>
      <c r="E98" s="155"/>
      <c r="F98" s="155"/>
      <c r="G98" s="155"/>
      <c r="H98" s="155"/>
      <c r="I98" s="155"/>
      <c r="J98" s="155">
        <v>8.66</v>
      </c>
      <c r="K98" s="155">
        <v>3.7080000000000002</v>
      </c>
      <c r="L98" s="155">
        <f>K98*1.048</f>
        <v>3.8859840000000005</v>
      </c>
      <c r="M98" s="155">
        <f>L98*1.052</f>
        <v>4.0880551680000004</v>
      </c>
      <c r="N98" s="155">
        <f>M98*1.042</f>
        <v>4.2597534850560006</v>
      </c>
      <c r="O98" s="177">
        <f t="shared" si="139"/>
        <v>4.4386631314283527</v>
      </c>
      <c r="P98" s="155">
        <v>1.1499999999999999</v>
      </c>
      <c r="Q98" s="155">
        <v>0.48699999999999999</v>
      </c>
      <c r="R98" s="155">
        <f>Q98*1.048</f>
        <v>0.51037600000000005</v>
      </c>
      <c r="S98" s="155">
        <f>R98*1.052</f>
        <v>0.53691555200000007</v>
      </c>
      <c r="T98" s="155">
        <f>S98*1.042</f>
        <v>0.55946600518400014</v>
      </c>
      <c r="U98" s="177">
        <f t="shared" si="140"/>
        <v>0.58296357740172822</v>
      </c>
      <c r="V98" s="155">
        <v>5</v>
      </c>
      <c r="W98" s="155">
        <v>3</v>
      </c>
      <c r="X98" s="155">
        <v>1</v>
      </c>
      <c r="Y98" s="155">
        <v>1</v>
      </c>
      <c r="Z98" s="155">
        <v>1</v>
      </c>
      <c r="AA98" s="155">
        <v>1</v>
      </c>
      <c r="AB98" s="156">
        <f t="shared" si="141"/>
        <v>6000</v>
      </c>
      <c r="AC98" s="156">
        <f t="shared" si="135"/>
        <v>5500</v>
      </c>
      <c r="AD98" s="156">
        <f t="shared" si="135"/>
        <v>17572.5</v>
      </c>
      <c r="AE98" s="207">
        <f t="shared" si="123"/>
        <v>18433.552499999998</v>
      </c>
      <c r="AF98" s="207">
        <f t="shared" si="124"/>
        <v>19263.062362499997</v>
      </c>
      <c r="AG98" s="207">
        <f t="shared" si="125"/>
        <v>20033.584856999998</v>
      </c>
      <c r="AH98" s="156">
        <v>0.36</v>
      </c>
      <c r="AI98" s="156">
        <v>0.19800000000000001</v>
      </c>
      <c r="AJ98" s="156">
        <f t="shared" si="136"/>
        <v>0.21087</v>
      </c>
      <c r="AK98" s="156">
        <f>AE98*Y98*12/1000000</f>
        <v>0.22120262999999998</v>
      </c>
      <c r="AL98" s="156">
        <f t="shared" si="142"/>
        <v>0.23115674834999994</v>
      </c>
      <c r="AM98" s="156">
        <f t="shared" si="143"/>
        <v>0.24040301828399999</v>
      </c>
      <c r="AN98" s="4"/>
      <c r="AO98" s="4"/>
    </row>
    <row r="99" spans="1:41" s="35" customFormat="1" ht="15.75" customHeight="1">
      <c r="A99" s="157" t="s">
        <v>263</v>
      </c>
      <c r="B99" s="105" t="s">
        <v>264</v>
      </c>
      <c r="C99" s="152"/>
      <c r="D99" s="155"/>
      <c r="E99" s="155"/>
      <c r="F99" s="155"/>
      <c r="G99" s="155"/>
      <c r="H99" s="155"/>
      <c r="I99" s="155"/>
      <c r="J99" s="155"/>
      <c r="K99" s="155">
        <v>0</v>
      </c>
      <c r="L99" s="155"/>
      <c r="M99" s="155"/>
      <c r="N99" s="155"/>
      <c r="O99" s="177"/>
      <c r="P99" s="155"/>
      <c r="Q99" s="155">
        <v>0</v>
      </c>
      <c r="R99" s="155"/>
      <c r="S99" s="155"/>
      <c r="T99" s="155"/>
      <c r="U99" s="177"/>
      <c r="V99" s="155"/>
      <c r="W99" s="155"/>
      <c r="X99" s="155">
        <v>0</v>
      </c>
      <c r="Y99" s="155"/>
      <c r="Z99" s="155"/>
      <c r="AA99" s="155"/>
      <c r="AB99" s="156"/>
      <c r="AC99" s="156"/>
      <c r="AD99" s="156"/>
      <c r="AE99" s="207"/>
      <c r="AF99" s="207"/>
      <c r="AG99" s="207"/>
      <c r="AH99" s="156">
        <v>0</v>
      </c>
      <c r="AI99" s="156">
        <v>0</v>
      </c>
      <c r="AJ99" s="156"/>
      <c r="AK99" s="156"/>
      <c r="AL99" s="156"/>
      <c r="AM99" s="156"/>
      <c r="AN99" s="4"/>
      <c r="AO99" s="4"/>
    </row>
    <row r="100" spans="1:41" s="35" customFormat="1" ht="15.75" customHeight="1">
      <c r="A100" s="157" t="s">
        <v>265</v>
      </c>
      <c r="B100" s="105" t="s">
        <v>266</v>
      </c>
      <c r="C100" s="152"/>
      <c r="D100" s="155"/>
      <c r="E100" s="155"/>
      <c r="F100" s="155"/>
      <c r="G100" s="155"/>
      <c r="H100" s="155"/>
      <c r="I100" s="155"/>
      <c r="J100" s="155"/>
      <c r="K100" s="155">
        <v>0</v>
      </c>
      <c r="L100" s="155"/>
      <c r="M100" s="155"/>
      <c r="N100" s="155"/>
      <c r="O100" s="177"/>
      <c r="P100" s="155"/>
      <c r="Q100" s="155"/>
      <c r="R100" s="155"/>
      <c r="S100" s="155"/>
      <c r="T100" s="155"/>
      <c r="U100" s="177"/>
      <c r="V100" s="155"/>
      <c r="W100" s="155"/>
      <c r="X100" s="155"/>
      <c r="Y100" s="155"/>
      <c r="Z100" s="155"/>
      <c r="AA100" s="155"/>
      <c r="AB100" s="156"/>
      <c r="AC100" s="156"/>
      <c r="AD100" s="156"/>
      <c r="AE100" s="207"/>
      <c r="AF100" s="207"/>
      <c r="AG100" s="207"/>
      <c r="AH100" s="156">
        <v>0</v>
      </c>
      <c r="AI100" s="156">
        <v>0</v>
      </c>
      <c r="AJ100" s="156"/>
      <c r="AK100" s="156"/>
      <c r="AL100" s="156"/>
      <c r="AM100" s="156"/>
      <c r="AN100" s="4"/>
      <c r="AO100" s="4"/>
    </row>
    <row r="101" spans="1:41" s="35" customFormat="1" ht="15.75" customHeight="1">
      <c r="A101" s="157" t="s">
        <v>267</v>
      </c>
      <c r="B101" s="105" t="s">
        <v>266</v>
      </c>
      <c r="C101" s="152"/>
      <c r="D101" s="155"/>
      <c r="E101" s="155"/>
      <c r="F101" s="155"/>
      <c r="G101" s="155"/>
      <c r="H101" s="155"/>
      <c r="I101" s="155"/>
      <c r="J101" s="155"/>
      <c r="K101" s="155">
        <v>0</v>
      </c>
      <c r="L101" s="155"/>
      <c r="M101" s="155"/>
      <c r="N101" s="155"/>
      <c r="O101" s="177"/>
      <c r="P101" s="155"/>
      <c r="Q101" s="155"/>
      <c r="R101" s="155"/>
      <c r="S101" s="155"/>
      <c r="T101" s="155"/>
      <c r="U101" s="177"/>
      <c r="V101" s="155"/>
      <c r="W101" s="155"/>
      <c r="X101" s="155"/>
      <c r="Y101" s="155"/>
      <c r="Z101" s="155"/>
      <c r="AA101" s="155"/>
      <c r="AB101" s="156"/>
      <c r="AC101" s="156"/>
      <c r="AD101" s="156"/>
      <c r="AE101" s="207"/>
      <c r="AF101" s="207"/>
      <c r="AG101" s="207"/>
      <c r="AH101" s="156">
        <v>0</v>
      </c>
      <c r="AI101" s="156">
        <v>0</v>
      </c>
      <c r="AJ101" s="156"/>
      <c r="AK101" s="156"/>
      <c r="AL101" s="156"/>
      <c r="AM101" s="156"/>
      <c r="AN101" s="4"/>
      <c r="AO101" s="4"/>
    </row>
    <row r="102" spans="1:41" s="35" customFormat="1" ht="15.75" customHeight="1">
      <c r="A102" s="157" t="s">
        <v>268</v>
      </c>
      <c r="B102" s="105" t="s">
        <v>269</v>
      </c>
      <c r="C102" s="152"/>
      <c r="D102" s="155"/>
      <c r="E102" s="155"/>
      <c r="F102" s="155"/>
      <c r="G102" s="155"/>
      <c r="H102" s="155"/>
      <c r="I102" s="155"/>
      <c r="J102" s="155"/>
      <c r="K102" s="155">
        <v>0</v>
      </c>
      <c r="L102" s="155"/>
      <c r="M102" s="155"/>
      <c r="N102" s="155"/>
      <c r="O102" s="177"/>
      <c r="P102" s="155"/>
      <c r="Q102" s="155"/>
      <c r="R102" s="155"/>
      <c r="S102" s="155"/>
      <c r="T102" s="155"/>
      <c r="U102" s="177"/>
      <c r="V102" s="155"/>
      <c r="W102" s="155"/>
      <c r="X102" s="155"/>
      <c r="Y102" s="155"/>
      <c r="Z102" s="155"/>
      <c r="AA102" s="155"/>
      <c r="AB102" s="156"/>
      <c r="AC102" s="156"/>
      <c r="AD102" s="156"/>
      <c r="AE102" s="207"/>
      <c r="AF102" s="207"/>
      <c r="AG102" s="207"/>
      <c r="AH102" s="156">
        <v>0</v>
      </c>
      <c r="AI102" s="156">
        <v>0</v>
      </c>
      <c r="AJ102" s="156"/>
      <c r="AK102" s="156"/>
      <c r="AL102" s="156"/>
      <c r="AM102" s="156"/>
      <c r="AN102" s="4"/>
      <c r="AO102" s="4"/>
    </row>
    <row r="103" spans="1:41" s="35" customFormat="1" ht="15.75" customHeight="1">
      <c r="A103" s="157" t="s">
        <v>270</v>
      </c>
      <c r="B103" s="105"/>
      <c r="C103" s="152"/>
      <c r="D103" s="155"/>
      <c r="E103" s="155"/>
      <c r="F103" s="155"/>
      <c r="G103" s="155"/>
      <c r="H103" s="155"/>
      <c r="I103" s="155"/>
      <c r="J103" s="155"/>
      <c r="K103" s="155">
        <v>1.6675</v>
      </c>
      <c r="L103" s="155">
        <f>K103*1.048</f>
        <v>1.7475400000000001</v>
      </c>
      <c r="M103" s="155">
        <f>L103*1.052</f>
        <v>1.8384120800000001</v>
      </c>
      <c r="N103" s="155">
        <f>M103*1.042</f>
        <v>1.9156253873600002</v>
      </c>
      <c r="O103" s="177">
        <f t="shared" si="139"/>
        <v>1.9960816536291204</v>
      </c>
      <c r="P103" s="155"/>
      <c r="Q103" s="155">
        <v>0.86519999999999997</v>
      </c>
      <c r="R103" s="155">
        <f>Q103*1.048</f>
        <v>0.90672960000000002</v>
      </c>
      <c r="S103" s="155">
        <f>R103*1.052</f>
        <v>0.95387953920000002</v>
      </c>
      <c r="T103" s="155">
        <f>S103*1.042</f>
        <v>0.99394247984640005</v>
      </c>
      <c r="U103" s="177">
        <f t="shared" si="140"/>
        <v>1.0356880639999488</v>
      </c>
      <c r="V103" s="155"/>
      <c r="W103" s="155">
        <v>1</v>
      </c>
      <c r="X103" s="155">
        <v>1</v>
      </c>
      <c r="Y103" s="155">
        <v>1</v>
      </c>
      <c r="Z103" s="155">
        <v>1</v>
      </c>
      <c r="AA103" s="155">
        <v>1</v>
      </c>
      <c r="AB103" s="156"/>
      <c r="AC103" s="156">
        <f t="shared" ref="AC103:AD108" si="144">(AI103*1000000/W103)/12</f>
        <v>16500</v>
      </c>
      <c r="AD103" s="156">
        <f t="shared" si="144"/>
        <v>17572.5</v>
      </c>
      <c r="AE103" s="207">
        <f t="shared" si="123"/>
        <v>18433.552499999998</v>
      </c>
      <c r="AF103" s="207">
        <f t="shared" si="124"/>
        <v>19263.062362499997</v>
      </c>
      <c r="AG103" s="207">
        <f t="shared" si="125"/>
        <v>20033.584856999998</v>
      </c>
      <c r="AH103" s="156">
        <v>0</v>
      </c>
      <c r="AI103" s="156">
        <v>0.19800000000000001</v>
      </c>
      <c r="AJ103" s="156">
        <f t="shared" si="136"/>
        <v>0.21087</v>
      </c>
      <c r="AK103" s="156">
        <f>AE103*Y103*12/1000000</f>
        <v>0.22120262999999998</v>
      </c>
      <c r="AL103" s="156">
        <f t="shared" ref="AL103" si="145">AF103*Z103*12/1000000</f>
        <v>0.23115674834999994</v>
      </c>
      <c r="AM103" s="156">
        <f t="shared" ref="AM103" si="146">AG103*AA103*12/1000000</f>
        <v>0.24040301828399999</v>
      </c>
      <c r="AN103" s="4"/>
      <c r="AO103" s="4"/>
    </row>
    <row r="104" spans="1:41" s="35" customFormat="1" ht="15.75" customHeight="1">
      <c r="A104" s="157" t="s">
        <v>271</v>
      </c>
      <c r="B104" s="105" t="s">
        <v>272</v>
      </c>
      <c r="C104" s="152"/>
      <c r="D104" s="155"/>
      <c r="E104" s="155"/>
      <c r="F104" s="155"/>
      <c r="G104" s="155"/>
      <c r="H104" s="155"/>
      <c r="I104" s="155"/>
      <c r="J104" s="155"/>
      <c r="K104" s="155">
        <v>0</v>
      </c>
      <c r="L104" s="155"/>
      <c r="M104" s="155"/>
      <c r="N104" s="155"/>
      <c r="O104" s="177"/>
      <c r="P104" s="155"/>
      <c r="Q104" s="155"/>
      <c r="R104" s="155"/>
      <c r="S104" s="155"/>
      <c r="T104" s="155"/>
      <c r="U104" s="177"/>
      <c r="V104" s="155"/>
      <c r="W104" s="155"/>
      <c r="X104" s="155"/>
      <c r="Y104" s="155"/>
      <c r="Z104" s="155"/>
      <c r="AA104" s="155"/>
      <c r="AB104" s="156"/>
      <c r="AC104" s="156"/>
      <c r="AD104" s="156"/>
      <c r="AE104" s="207"/>
      <c r="AF104" s="207"/>
      <c r="AG104" s="207"/>
      <c r="AH104" s="156">
        <v>0</v>
      </c>
      <c r="AI104" s="156">
        <v>0</v>
      </c>
      <c r="AJ104" s="156"/>
      <c r="AK104" s="156"/>
      <c r="AL104" s="156"/>
      <c r="AM104" s="156"/>
      <c r="AN104" s="4"/>
      <c r="AO104" s="4"/>
    </row>
    <row r="105" spans="1:41" s="35" customFormat="1" ht="15.75" customHeight="1">
      <c r="A105" s="157" t="s">
        <v>273</v>
      </c>
      <c r="B105" s="105"/>
      <c r="C105" s="152"/>
      <c r="D105" s="155"/>
      <c r="E105" s="155"/>
      <c r="F105" s="155"/>
      <c r="G105" s="155"/>
      <c r="H105" s="155"/>
      <c r="I105" s="155"/>
      <c r="J105" s="155"/>
      <c r="K105" s="155">
        <v>0</v>
      </c>
      <c r="L105" s="155"/>
      <c r="M105" s="155"/>
      <c r="N105" s="155"/>
      <c r="O105" s="177"/>
      <c r="P105" s="155"/>
      <c r="Q105" s="155"/>
      <c r="R105" s="155"/>
      <c r="S105" s="155"/>
      <c r="T105" s="155"/>
      <c r="U105" s="177"/>
      <c r="V105" s="155"/>
      <c r="W105" s="155"/>
      <c r="X105" s="155">
        <v>1</v>
      </c>
      <c r="Y105" s="155">
        <v>1</v>
      </c>
      <c r="Z105" s="155">
        <v>1</v>
      </c>
      <c r="AA105" s="155">
        <v>1</v>
      </c>
      <c r="AB105" s="156"/>
      <c r="AC105" s="156"/>
      <c r="AD105" s="156"/>
      <c r="AE105" s="207">
        <f t="shared" si="123"/>
        <v>0</v>
      </c>
      <c r="AF105" s="207">
        <f t="shared" si="124"/>
        <v>0</v>
      </c>
      <c r="AG105" s="207">
        <f t="shared" si="125"/>
        <v>0</v>
      </c>
      <c r="AH105" s="156">
        <v>0</v>
      </c>
      <c r="AI105" s="156">
        <v>0</v>
      </c>
      <c r="AJ105" s="156"/>
      <c r="AK105" s="156"/>
      <c r="AL105" s="156"/>
      <c r="AM105" s="156"/>
      <c r="AN105" s="4"/>
      <c r="AO105" s="4"/>
    </row>
    <row r="106" spans="1:41" s="35" customFormat="1" ht="15.75">
      <c r="A106" s="157" t="s">
        <v>274</v>
      </c>
      <c r="B106" s="105"/>
      <c r="C106" s="152"/>
      <c r="D106" s="155"/>
      <c r="E106" s="155"/>
      <c r="F106" s="155"/>
      <c r="G106" s="155"/>
      <c r="H106" s="155"/>
      <c r="I106" s="155"/>
      <c r="J106" s="155">
        <v>0</v>
      </c>
      <c r="K106" s="155">
        <v>1.673</v>
      </c>
      <c r="L106" s="155">
        <f>K106*1.048</f>
        <v>1.7533040000000002</v>
      </c>
      <c r="M106" s="155">
        <f>L106*1.052</f>
        <v>1.8444758080000003</v>
      </c>
      <c r="N106" s="155">
        <f>M106*1.042</f>
        <v>1.9219437919360005</v>
      </c>
      <c r="O106" s="177">
        <f t="shared" si="139"/>
        <v>2.0026654311973124</v>
      </c>
      <c r="P106" s="155">
        <v>0</v>
      </c>
      <c r="Q106" s="155">
        <v>0.104</v>
      </c>
      <c r="R106" s="155">
        <f>Q106*1.048</f>
        <v>0.10899200000000001</v>
      </c>
      <c r="S106" s="155">
        <f>R106*1.052</f>
        <v>0.11465958400000001</v>
      </c>
      <c r="T106" s="155">
        <f>S106*1.042</f>
        <v>0.11947528652800002</v>
      </c>
      <c r="U106" s="177">
        <f t="shared" si="140"/>
        <v>0.12449324856217603</v>
      </c>
      <c r="V106" s="155">
        <v>0</v>
      </c>
      <c r="W106" s="155">
        <v>4</v>
      </c>
      <c r="X106" s="155">
        <v>4</v>
      </c>
      <c r="Y106" s="155">
        <v>4</v>
      </c>
      <c r="Z106" s="155">
        <v>4</v>
      </c>
      <c r="AA106" s="155">
        <v>4</v>
      </c>
      <c r="AB106" s="156"/>
      <c r="AC106" s="156">
        <f t="shared" si="144"/>
        <v>4954.166666666667</v>
      </c>
      <c r="AD106" s="156">
        <f t="shared" si="144"/>
        <v>5276.1875</v>
      </c>
      <c r="AE106" s="207">
        <f t="shared" si="123"/>
        <v>5534.7206874999993</v>
      </c>
      <c r="AF106" s="207">
        <f t="shared" si="124"/>
        <v>5783.7831184374991</v>
      </c>
      <c r="AG106" s="207">
        <f t="shared" si="125"/>
        <v>6015.1344431749994</v>
      </c>
      <c r="AH106" s="156">
        <v>0</v>
      </c>
      <c r="AI106" s="156">
        <v>0.23780000000000001</v>
      </c>
      <c r="AJ106" s="156">
        <f t="shared" si="136"/>
        <v>0.25325700000000001</v>
      </c>
      <c r="AK106" s="156">
        <f>AE106*Y106*12/1000000</f>
        <v>0.26566659300000001</v>
      </c>
      <c r="AL106" s="156">
        <f t="shared" ref="AL106:AL107" si="147">AF106*Z106*12/1000000</f>
        <v>0.27762158968499995</v>
      </c>
      <c r="AM106" s="156">
        <f t="shared" ref="AM106:AM107" si="148">AG106*AA106*12/1000000</f>
        <v>0.28872645327239999</v>
      </c>
      <c r="AN106" s="4"/>
      <c r="AO106" s="4"/>
    </row>
    <row r="107" spans="1:41" s="35" customFormat="1" ht="15.75">
      <c r="A107" s="173" t="s">
        <v>74</v>
      </c>
      <c r="B107" s="105"/>
      <c r="C107" s="152"/>
      <c r="D107" s="155"/>
      <c r="E107" s="155"/>
      <c r="F107" s="155"/>
      <c r="G107" s="155"/>
      <c r="H107" s="155"/>
      <c r="I107" s="155"/>
      <c r="J107" s="155"/>
      <c r="K107" s="155">
        <v>0</v>
      </c>
      <c r="L107" s="155"/>
      <c r="M107" s="155"/>
      <c r="N107" s="155"/>
      <c r="O107" s="177"/>
      <c r="P107" s="155"/>
      <c r="Q107" s="155"/>
      <c r="R107" s="155"/>
      <c r="S107" s="155"/>
      <c r="T107" s="155"/>
      <c r="U107" s="177"/>
      <c r="V107" s="155">
        <v>4</v>
      </c>
      <c r="W107" s="155">
        <v>4</v>
      </c>
      <c r="X107" s="155">
        <v>5</v>
      </c>
      <c r="Y107" s="155">
        <v>5</v>
      </c>
      <c r="Z107" s="155">
        <v>5</v>
      </c>
      <c r="AA107" s="155">
        <v>5</v>
      </c>
      <c r="AB107" s="156">
        <f t="shared" si="141"/>
        <v>12500</v>
      </c>
      <c r="AC107" s="156">
        <f t="shared" si="144"/>
        <v>21885.416666666668</v>
      </c>
      <c r="AD107" s="156">
        <f t="shared" si="144"/>
        <v>18646.375</v>
      </c>
      <c r="AE107" s="207">
        <f t="shared" si="123"/>
        <v>19560.047374999998</v>
      </c>
      <c r="AF107" s="207">
        <f t="shared" si="124"/>
        <v>20440.249506874996</v>
      </c>
      <c r="AG107" s="207">
        <f t="shared" si="125"/>
        <v>21257.859487149995</v>
      </c>
      <c r="AH107" s="156">
        <v>0.6</v>
      </c>
      <c r="AI107" s="156">
        <v>1.0505</v>
      </c>
      <c r="AJ107" s="156">
        <f t="shared" si="136"/>
        <v>1.1187825</v>
      </c>
      <c r="AK107" s="156">
        <f>AE107*Y107*12/1000000</f>
        <v>1.1736028424999998</v>
      </c>
      <c r="AL107" s="156">
        <f t="shared" si="147"/>
        <v>1.2264149704124998</v>
      </c>
      <c r="AM107" s="156">
        <f t="shared" si="148"/>
        <v>1.2754715692289997</v>
      </c>
      <c r="AN107" s="4"/>
      <c r="AO107" s="4"/>
    </row>
    <row r="108" spans="1:41" s="35" customFormat="1" ht="15.75" customHeight="1">
      <c r="A108" s="110" t="s">
        <v>14</v>
      </c>
      <c r="B108" s="124"/>
      <c r="C108" s="152"/>
      <c r="D108" s="162">
        <f t="shared" ref="D108" si="149">SUM(D110:D189)</f>
        <v>0</v>
      </c>
      <c r="E108" s="162">
        <f t="shared" ref="E108:AM108" si="150">SUM(E110:E189)</f>
        <v>0</v>
      </c>
      <c r="F108" s="162">
        <f t="shared" si="150"/>
        <v>0</v>
      </c>
      <c r="G108" s="162">
        <f t="shared" si="150"/>
        <v>0</v>
      </c>
      <c r="H108" s="162">
        <f t="shared" si="150"/>
        <v>0</v>
      </c>
      <c r="I108" s="162">
        <f t="shared" si="150"/>
        <v>0</v>
      </c>
      <c r="J108" s="162">
        <f t="shared" si="150"/>
        <v>827.06999999999982</v>
      </c>
      <c r="K108" s="162">
        <f t="shared" si="150"/>
        <v>1009.9100000000001</v>
      </c>
      <c r="L108" s="162">
        <f t="shared" si="150"/>
        <v>1087.6730699999998</v>
      </c>
      <c r="M108" s="162">
        <f t="shared" si="150"/>
        <v>1146.4074157799998</v>
      </c>
      <c r="N108" s="162">
        <f t="shared" si="150"/>
        <v>1201.43497173744</v>
      </c>
      <c r="O108" s="162">
        <f t="shared" si="150"/>
        <v>1249.4923706069378</v>
      </c>
      <c r="P108" s="154">
        <f>SUM(P110:P124,P126:P185,P187:P189)</f>
        <v>53.40000000000002</v>
      </c>
      <c r="Q108" s="154">
        <f>SUM(Q111:Q161,Q163:Q189)</f>
        <v>57.260599999999997</v>
      </c>
      <c r="R108" s="154">
        <f t="shared" ref="R108:U108" si="151">SUM(R111:R161,R163:R189)</f>
        <v>61.667512200000004</v>
      </c>
      <c r="S108" s="154">
        <f t="shared" si="151"/>
        <v>64.997557858799993</v>
      </c>
      <c r="T108" s="154">
        <f t="shared" si="151"/>
        <v>68.117440636022394</v>
      </c>
      <c r="U108" s="154">
        <f t="shared" si="151"/>
        <v>70.842138261463305</v>
      </c>
      <c r="V108" s="154">
        <f t="shared" si="150"/>
        <v>557</v>
      </c>
      <c r="W108" s="154">
        <f t="shared" si="150"/>
        <v>565</v>
      </c>
      <c r="X108" s="154">
        <f t="shared" si="150"/>
        <v>489</v>
      </c>
      <c r="Y108" s="154">
        <f t="shared" si="150"/>
        <v>496</v>
      </c>
      <c r="Z108" s="154">
        <f t="shared" si="150"/>
        <v>499</v>
      </c>
      <c r="AA108" s="154">
        <f t="shared" si="150"/>
        <v>502</v>
      </c>
      <c r="AB108" s="159">
        <f t="shared" si="141"/>
        <v>14289.347695990422</v>
      </c>
      <c r="AC108" s="159">
        <f t="shared" si="144"/>
        <v>16048.289085545723</v>
      </c>
      <c r="AD108" s="159">
        <f t="shared" si="144"/>
        <v>19747.764314928423</v>
      </c>
      <c r="AE108" s="159">
        <f t="shared" si="123"/>
        <v>20715.404766359916</v>
      </c>
      <c r="AF108" s="159">
        <f t="shared" si="124"/>
        <v>21647.597980846109</v>
      </c>
      <c r="AG108" s="159">
        <f t="shared" si="125"/>
        <v>22513.501900079955</v>
      </c>
      <c r="AH108" s="159">
        <f t="shared" ref="AH108" si="152">SUM(AH110:AH189)</f>
        <v>95.509999999999991</v>
      </c>
      <c r="AI108" s="159">
        <f>SUM(AI110:AI189)</f>
        <v>108.8074</v>
      </c>
      <c r="AJ108" s="159">
        <f t="shared" si="150"/>
        <v>115.879881</v>
      </c>
      <c r="AK108" s="159">
        <f t="shared" si="150"/>
        <v>121.21723748118035</v>
      </c>
      <c r="AL108" s="159">
        <f t="shared" si="150"/>
        <v>127.83324332433891</v>
      </c>
      <c r="AM108" s="159">
        <f t="shared" si="150"/>
        <v>134.15425242007814</v>
      </c>
      <c r="AN108" s="4"/>
      <c r="AO108" s="4"/>
    </row>
    <row r="109" spans="1:41" s="35" customFormat="1" ht="19.5" customHeight="1">
      <c r="A109" s="178" t="s">
        <v>95</v>
      </c>
      <c r="B109" s="164"/>
      <c r="C109" s="152"/>
      <c r="D109" s="30"/>
      <c r="E109" s="30"/>
      <c r="F109" s="30"/>
      <c r="G109" s="30"/>
      <c r="H109" s="30"/>
      <c r="I109" s="30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6"/>
      <c r="AC109" s="156"/>
      <c r="AD109" s="156"/>
      <c r="AE109" s="207"/>
      <c r="AF109" s="207"/>
      <c r="AG109" s="207"/>
      <c r="AH109" s="156"/>
      <c r="AI109" s="156"/>
      <c r="AJ109" s="156"/>
      <c r="AK109" s="156"/>
      <c r="AL109" s="156"/>
      <c r="AM109" s="156"/>
      <c r="AN109" s="4"/>
      <c r="AO109" s="4"/>
    </row>
    <row r="110" spans="1:41" s="35" customFormat="1" ht="16.5" customHeight="1">
      <c r="A110" s="179" t="s">
        <v>275</v>
      </c>
      <c r="B110" s="180"/>
      <c r="C110" s="152"/>
      <c r="D110" s="155"/>
      <c r="E110" s="155"/>
      <c r="F110" s="155"/>
      <c r="G110" s="155"/>
      <c r="H110" s="155"/>
      <c r="I110" s="155"/>
      <c r="J110" s="155">
        <v>8.3000000000000007</v>
      </c>
      <c r="K110" s="155">
        <v>6.8449999999999998</v>
      </c>
      <c r="L110" s="155">
        <f>K110*1.077</f>
        <v>7.3720649999999992</v>
      </c>
      <c r="M110" s="155">
        <f>L110*1.054</f>
        <v>7.7701565099999996</v>
      </c>
      <c r="N110" s="155">
        <f t="shared" ref="N110:N172" si="153">M110*1.048</f>
        <v>8.1431240224800003</v>
      </c>
      <c r="O110" s="155">
        <f>N110*1.04</f>
        <v>8.4688489833791998</v>
      </c>
      <c r="P110" s="155">
        <v>0.1</v>
      </c>
      <c r="Q110" s="155">
        <v>-3.9E-2</v>
      </c>
      <c r="R110" s="155">
        <f>Q110*1.077</f>
        <v>-4.2002999999999999E-2</v>
      </c>
      <c r="S110" s="155">
        <f>R110*1.054</f>
        <v>-4.4271162000000003E-2</v>
      </c>
      <c r="T110" s="155">
        <f t="shared" ref="T110" si="154">S110*1.048</f>
        <v>-4.6396177776000004E-2</v>
      </c>
      <c r="U110" s="155">
        <f>T110*1.04</f>
        <v>-4.8252024887040008E-2</v>
      </c>
      <c r="V110" s="155">
        <v>12</v>
      </c>
      <c r="W110" s="155">
        <v>12</v>
      </c>
      <c r="X110" s="155">
        <v>12</v>
      </c>
      <c r="Y110" s="155">
        <v>12</v>
      </c>
      <c r="Z110" s="155">
        <v>12</v>
      </c>
      <c r="AA110" s="155">
        <v>12</v>
      </c>
      <c r="AB110" s="156">
        <f t="shared" ref="AB110:AD110" si="155">(AH110*1000000/V110)/12</f>
        <v>8194.4444444444434</v>
      </c>
      <c r="AC110" s="156">
        <f t="shared" si="155"/>
        <v>7194.4444444444443</v>
      </c>
      <c r="AD110" s="156">
        <f t="shared" si="155"/>
        <v>7662.083333333333</v>
      </c>
      <c r="AE110" s="207">
        <f t="shared" si="123"/>
        <v>8037.5254166666655</v>
      </c>
      <c r="AF110" s="207">
        <f t="shared" si="124"/>
        <v>8399.2140604166652</v>
      </c>
      <c r="AG110" s="207">
        <f t="shared" si="125"/>
        <v>8735.1826228333321</v>
      </c>
      <c r="AH110" s="156">
        <v>1.18</v>
      </c>
      <c r="AI110" s="156">
        <v>1.036</v>
      </c>
      <c r="AJ110" s="156">
        <f t="shared" ref="AJ110" si="156">AI110*1.065</f>
        <v>1.10334</v>
      </c>
      <c r="AK110" s="156">
        <f>AE110*Y110*12/1000000</f>
        <v>1.1574036599999999</v>
      </c>
      <c r="AL110" s="156">
        <f t="shared" ref="AL110" si="157">AF110*Z110*12/1000000</f>
        <v>1.2094868246999997</v>
      </c>
      <c r="AM110" s="156">
        <f t="shared" ref="AM110" si="158">AG110*AA110*12/1000000</f>
        <v>1.257866297688</v>
      </c>
      <c r="AN110" s="4"/>
      <c r="AO110" s="4"/>
    </row>
    <row r="111" spans="1:41" s="35" customFormat="1" ht="16.5" customHeight="1">
      <c r="A111" s="179" t="s">
        <v>276</v>
      </c>
      <c r="B111" s="180" t="s">
        <v>277</v>
      </c>
      <c r="C111" s="152"/>
      <c r="D111" s="155"/>
      <c r="E111" s="155"/>
      <c r="F111" s="155"/>
      <c r="G111" s="155"/>
      <c r="H111" s="155"/>
      <c r="I111" s="155"/>
      <c r="J111" s="155"/>
      <c r="K111" s="155">
        <v>0</v>
      </c>
      <c r="L111" s="155"/>
      <c r="M111" s="155"/>
      <c r="N111" s="155"/>
      <c r="O111" s="155"/>
      <c r="P111" s="155"/>
      <c r="Q111" s="155">
        <v>0</v>
      </c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6"/>
      <c r="AC111" s="156"/>
      <c r="AD111" s="156"/>
      <c r="AE111" s="207"/>
      <c r="AF111" s="207"/>
      <c r="AG111" s="207"/>
      <c r="AH111" s="156"/>
      <c r="AI111" s="156"/>
      <c r="AJ111" s="156"/>
      <c r="AK111" s="156"/>
      <c r="AL111" s="156"/>
      <c r="AM111" s="156"/>
      <c r="AN111" s="4"/>
      <c r="AO111" s="4"/>
    </row>
    <row r="112" spans="1:41" s="35" customFormat="1" ht="16.5" customHeight="1">
      <c r="A112" s="179" t="s">
        <v>278</v>
      </c>
      <c r="B112" s="180" t="s">
        <v>229</v>
      </c>
      <c r="C112" s="152"/>
      <c r="D112" s="155"/>
      <c r="E112" s="155"/>
      <c r="F112" s="155"/>
      <c r="G112" s="155"/>
      <c r="H112" s="155"/>
      <c r="I112" s="155"/>
      <c r="J112" s="155"/>
      <c r="K112" s="155">
        <v>0</v>
      </c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6"/>
      <c r="AC112" s="156"/>
      <c r="AD112" s="156"/>
      <c r="AE112" s="207"/>
      <c r="AF112" s="207"/>
      <c r="AG112" s="207"/>
      <c r="AH112" s="156"/>
      <c r="AI112" s="156"/>
      <c r="AJ112" s="156"/>
      <c r="AK112" s="156"/>
      <c r="AL112" s="156"/>
      <c r="AM112" s="156"/>
      <c r="AN112" s="4"/>
      <c r="AO112" s="4"/>
    </row>
    <row r="113" spans="1:41" s="35" customFormat="1" ht="16.5" customHeight="1">
      <c r="A113" s="179" t="s">
        <v>279</v>
      </c>
      <c r="B113" s="180"/>
      <c r="C113" s="152"/>
      <c r="D113" s="155"/>
      <c r="E113" s="155"/>
      <c r="F113" s="155"/>
      <c r="G113" s="155"/>
      <c r="H113" s="155"/>
      <c r="I113" s="155"/>
      <c r="J113" s="155"/>
      <c r="K113" s="155">
        <v>46.28</v>
      </c>
      <c r="L113" s="155">
        <f t="shared" ref="L113:L172" si="159">K113*1.077</f>
        <v>49.843559999999997</v>
      </c>
      <c r="M113" s="155">
        <f t="shared" ref="M113:M172" si="160">L113*1.054</f>
        <v>52.535112239999997</v>
      </c>
      <c r="N113" s="155">
        <f t="shared" si="153"/>
        <v>55.056797627519998</v>
      </c>
      <c r="O113" s="155">
        <f t="shared" ref="O113:O172" si="161">N113*1.04</f>
        <v>57.259069532620799</v>
      </c>
      <c r="P113" s="155"/>
      <c r="Q113" s="155">
        <v>2.25</v>
      </c>
      <c r="R113" s="155">
        <f>Q113*1.077</f>
        <v>2.4232499999999999</v>
      </c>
      <c r="S113" s="155">
        <f>R113*1.054</f>
        <v>2.5541054999999999</v>
      </c>
      <c r="T113" s="155">
        <f t="shared" ref="T113" si="162">S113*1.048</f>
        <v>2.6767025640000002</v>
      </c>
      <c r="U113" s="155">
        <f>T113*1.04</f>
        <v>2.7837706665600002</v>
      </c>
      <c r="V113" s="155"/>
      <c r="W113" s="155">
        <v>27</v>
      </c>
      <c r="X113" s="155">
        <v>27</v>
      </c>
      <c r="Y113" s="155">
        <v>27</v>
      </c>
      <c r="Z113" s="155">
        <v>27</v>
      </c>
      <c r="AA113" s="155">
        <v>27</v>
      </c>
      <c r="AB113" s="156"/>
      <c r="AC113" s="156">
        <f t="shared" ref="AC113:AD174" si="163">(AI113*1000000/W113)/12</f>
        <v>10981.481481481482</v>
      </c>
      <c r="AD113" s="156">
        <f t="shared" si="163"/>
        <v>11695.277777777776</v>
      </c>
      <c r="AE113" s="207">
        <f t="shared" si="123"/>
        <v>12268.346388888885</v>
      </c>
      <c r="AF113" s="207">
        <f t="shared" si="124"/>
        <v>12820.421976388885</v>
      </c>
      <c r="AG113" s="207">
        <f t="shared" si="125"/>
        <v>13333.238855444441</v>
      </c>
      <c r="AH113" s="156"/>
      <c r="AI113" s="156">
        <v>3.5579999999999998</v>
      </c>
      <c r="AJ113" s="156">
        <f t="shared" ref="AJ113" si="164">AI113*1.065</f>
        <v>3.7892699999999997</v>
      </c>
      <c r="AK113" s="156">
        <f>AE113*Y113*12/1000000</f>
        <v>3.9749442299999989</v>
      </c>
      <c r="AL113" s="156">
        <f t="shared" ref="AL113" si="165">AF113*Z113*12/1000000</f>
        <v>4.1538167203499983</v>
      </c>
      <c r="AM113" s="156">
        <f t="shared" ref="AM113" si="166">AG113*AA113*12/1000000</f>
        <v>4.3199693891639992</v>
      </c>
      <c r="AN113" s="4"/>
      <c r="AO113" s="4"/>
    </row>
    <row r="114" spans="1:41" s="35" customFormat="1" ht="17.25" customHeight="1">
      <c r="A114" s="181" t="s">
        <v>280</v>
      </c>
      <c r="B114" s="182" t="s">
        <v>190</v>
      </c>
      <c r="C114" s="152"/>
      <c r="D114" s="155"/>
      <c r="E114" s="155"/>
      <c r="F114" s="155"/>
      <c r="G114" s="155"/>
      <c r="H114" s="155"/>
      <c r="I114" s="155"/>
      <c r="J114" s="155"/>
      <c r="K114" s="155">
        <v>0</v>
      </c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6"/>
      <c r="AC114" s="156"/>
      <c r="AD114" s="156"/>
      <c r="AE114" s="207"/>
      <c r="AF114" s="207"/>
      <c r="AG114" s="207"/>
      <c r="AH114" s="156"/>
      <c r="AI114" s="156"/>
      <c r="AJ114" s="156"/>
      <c r="AK114" s="156"/>
      <c r="AL114" s="156"/>
      <c r="AM114" s="156"/>
      <c r="AN114" s="4"/>
      <c r="AO114" s="4"/>
    </row>
    <row r="115" spans="1:41" s="35" customFormat="1" ht="17.25" customHeight="1">
      <c r="A115" s="181" t="s">
        <v>281</v>
      </c>
      <c r="B115" s="182"/>
      <c r="C115" s="152"/>
      <c r="D115" s="155"/>
      <c r="E115" s="155"/>
      <c r="F115" s="155"/>
      <c r="G115" s="155"/>
      <c r="H115" s="155"/>
      <c r="I115" s="155"/>
      <c r="J115" s="155">
        <v>14.3</v>
      </c>
      <c r="K115" s="155">
        <v>5.077</v>
      </c>
      <c r="L115" s="155">
        <f t="shared" si="159"/>
        <v>5.4679289999999998</v>
      </c>
      <c r="M115" s="155">
        <f t="shared" si="160"/>
        <v>5.7631971660000003</v>
      </c>
      <c r="N115" s="155">
        <f t="shared" si="153"/>
        <v>6.0398306299680007</v>
      </c>
      <c r="O115" s="155">
        <f t="shared" si="161"/>
        <v>6.2814238551667207</v>
      </c>
      <c r="P115" s="155">
        <v>1.25</v>
      </c>
      <c r="Q115" s="155">
        <v>0.433</v>
      </c>
      <c r="R115" s="155">
        <f>Q115*1.077</f>
        <v>0.46634099999999995</v>
      </c>
      <c r="S115" s="155">
        <f>R115*1.054</f>
        <v>0.49152341399999999</v>
      </c>
      <c r="T115" s="155">
        <f t="shared" ref="T115" si="167">S115*1.048</f>
        <v>0.51511653787199996</v>
      </c>
      <c r="U115" s="155">
        <f>T115*1.04</f>
        <v>0.53572119938688001</v>
      </c>
      <c r="V115" s="155">
        <v>6</v>
      </c>
      <c r="W115" s="155">
        <v>5</v>
      </c>
      <c r="X115" s="155">
        <v>5</v>
      </c>
      <c r="Y115" s="155">
        <v>5</v>
      </c>
      <c r="Z115" s="155">
        <v>5</v>
      </c>
      <c r="AA115" s="155">
        <v>5</v>
      </c>
      <c r="AB115" s="156">
        <f t="shared" ref="AB115:AB173" si="168">(AH115*1000000/V115)/12</f>
        <v>18194.444444444445</v>
      </c>
      <c r="AC115" s="156">
        <f t="shared" si="163"/>
        <v>16670</v>
      </c>
      <c r="AD115" s="156">
        <f t="shared" si="163"/>
        <v>17753.55</v>
      </c>
      <c r="AE115" s="207">
        <f t="shared" si="123"/>
        <v>18623.47395</v>
      </c>
      <c r="AF115" s="207">
        <f t="shared" si="124"/>
        <v>19461.530277749996</v>
      </c>
      <c r="AG115" s="207">
        <f t="shared" si="125"/>
        <v>20239.991488859996</v>
      </c>
      <c r="AH115" s="156">
        <v>1.31</v>
      </c>
      <c r="AI115" s="156">
        <v>1.0002</v>
      </c>
      <c r="AJ115" s="156">
        <f t="shared" ref="AJ115" si="169">AI115*1.065</f>
        <v>1.065213</v>
      </c>
      <c r="AK115" s="156">
        <f>AE115*Y115*12/1000000</f>
        <v>1.1174084369999999</v>
      </c>
      <c r="AL115" s="156">
        <f t="shared" ref="AL115" si="170">AF115*Z115*12/1000000</f>
        <v>1.1676918166649999</v>
      </c>
      <c r="AM115" s="156">
        <f t="shared" ref="AM115" si="171">AG115*AA115*12/1000000</f>
        <v>1.2143994893315997</v>
      </c>
      <c r="AN115" s="4"/>
      <c r="AO115" s="4"/>
    </row>
    <row r="116" spans="1:41" s="35" customFormat="1" ht="17.25" customHeight="1">
      <c r="A116" s="181" t="s">
        <v>282</v>
      </c>
      <c r="B116" s="182" t="s">
        <v>190</v>
      </c>
      <c r="C116" s="152"/>
      <c r="D116" s="155"/>
      <c r="E116" s="155"/>
      <c r="F116" s="155"/>
      <c r="G116" s="155"/>
      <c r="H116" s="155"/>
      <c r="I116" s="155"/>
      <c r="J116" s="155"/>
      <c r="K116" s="155">
        <v>0</v>
      </c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6"/>
      <c r="AC116" s="156"/>
      <c r="AD116" s="156"/>
      <c r="AE116" s="207"/>
      <c r="AF116" s="207"/>
      <c r="AG116" s="207"/>
      <c r="AH116" s="156"/>
      <c r="AI116" s="156"/>
      <c r="AJ116" s="156"/>
      <c r="AK116" s="156"/>
      <c r="AL116" s="156"/>
      <c r="AM116" s="156"/>
      <c r="AN116" s="4"/>
      <c r="AO116" s="4"/>
    </row>
    <row r="117" spans="1:41" s="35" customFormat="1" ht="32.25" customHeight="1">
      <c r="A117" s="181" t="s">
        <v>283</v>
      </c>
      <c r="B117" s="182" t="s">
        <v>284</v>
      </c>
      <c r="C117" s="152"/>
      <c r="D117" s="155"/>
      <c r="E117" s="155"/>
      <c r="F117" s="155"/>
      <c r="G117" s="155"/>
      <c r="H117" s="155"/>
      <c r="I117" s="155"/>
      <c r="J117" s="155">
        <v>10.28</v>
      </c>
      <c r="K117" s="155">
        <v>0</v>
      </c>
      <c r="L117" s="155"/>
      <c r="M117" s="155"/>
      <c r="N117" s="155"/>
      <c r="O117" s="155"/>
      <c r="P117" s="155">
        <v>0.3</v>
      </c>
      <c r="Q117" s="155"/>
      <c r="R117" s="155"/>
      <c r="S117" s="155"/>
      <c r="T117" s="155"/>
      <c r="U117" s="155"/>
      <c r="V117" s="155">
        <v>7</v>
      </c>
      <c r="W117" s="155"/>
      <c r="X117" s="155"/>
      <c r="Y117" s="155"/>
      <c r="Z117" s="155"/>
      <c r="AA117" s="155"/>
      <c r="AB117" s="156">
        <f t="shared" si="168"/>
        <v>25476.190476190477</v>
      </c>
      <c r="AC117" s="156"/>
      <c r="AD117" s="156"/>
      <c r="AE117" s="207"/>
      <c r="AF117" s="207"/>
      <c r="AG117" s="207"/>
      <c r="AH117" s="156">
        <v>2.14</v>
      </c>
      <c r="AI117" s="156"/>
      <c r="AJ117" s="156"/>
      <c r="AK117" s="156"/>
      <c r="AL117" s="156"/>
      <c r="AM117" s="156"/>
      <c r="AN117" s="4"/>
      <c r="AO117" s="4"/>
    </row>
    <row r="118" spans="1:41" s="35" customFormat="1" ht="17.25" customHeight="1">
      <c r="A118" s="181" t="s">
        <v>285</v>
      </c>
      <c r="B118" s="182"/>
      <c r="C118" s="152"/>
      <c r="D118" s="155"/>
      <c r="E118" s="155"/>
      <c r="F118" s="155"/>
      <c r="G118" s="155"/>
      <c r="H118" s="155"/>
      <c r="I118" s="155"/>
      <c r="J118" s="155">
        <v>5.15</v>
      </c>
      <c r="K118" s="155">
        <v>5.3680000000000003</v>
      </c>
      <c r="L118" s="155">
        <f t="shared" si="159"/>
        <v>5.7813360000000005</v>
      </c>
      <c r="M118" s="155">
        <f t="shared" si="160"/>
        <v>6.0935281440000004</v>
      </c>
      <c r="N118" s="155">
        <f t="shared" si="153"/>
        <v>6.386017494912001</v>
      </c>
      <c r="O118" s="155">
        <f t="shared" si="161"/>
        <v>6.6414581947084814</v>
      </c>
      <c r="P118" s="155">
        <v>0.65</v>
      </c>
      <c r="Q118" s="155">
        <v>0.81699999999999995</v>
      </c>
      <c r="R118" s="155">
        <f>Q118*1.077</f>
        <v>0.87990899999999994</v>
      </c>
      <c r="S118" s="155">
        <f>R118*1.054</f>
        <v>0.92742408599999993</v>
      </c>
      <c r="T118" s="155">
        <f t="shared" ref="T118" si="172">S118*1.048</f>
        <v>0.97194044212800002</v>
      </c>
      <c r="U118" s="155">
        <f>T118*1.04</f>
        <v>1.01081805981312</v>
      </c>
      <c r="V118" s="155">
        <v>4</v>
      </c>
      <c r="W118" s="155">
        <v>5</v>
      </c>
      <c r="X118" s="155">
        <v>5</v>
      </c>
      <c r="Y118" s="155">
        <v>5</v>
      </c>
      <c r="Z118" s="155">
        <v>5</v>
      </c>
      <c r="AA118" s="155">
        <v>5</v>
      </c>
      <c r="AB118" s="156">
        <f t="shared" si="168"/>
        <v>4583.333333333333</v>
      </c>
      <c r="AC118" s="156">
        <f t="shared" si="163"/>
        <v>5800</v>
      </c>
      <c r="AD118" s="156">
        <f t="shared" si="163"/>
        <v>6176.9999999999991</v>
      </c>
      <c r="AE118" s="207">
        <f t="shared" si="123"/>
        <v>6479.6729999999989</v>
      </c>
      <c r="AF118" s="207">
        <f t="shared" si="124"/>
        <v>6771.2582849999981</v>
      </c>
      <c r="AG118" s="207">
        <f t="shared" si="125"/>
        <v>7042.108616399998</v>
      </c>
      <c r="AH118" s="156">
        <v>0.22</v>
      </c>
      <c r="AI118" s="156">
        <v>0.34799999999999998</v>
      </c>
      <c r="AJ118" s="156">
        <f t="shared" ref="AJ118" si="173">AI118*1.065</f>
        <v>0.37061999999999995</v>
      </c>
      <c r="AK118" s="156">
        <f>AE118*Y118*12/1000000</f>
        <v>0.38878037999999993</v>
      </c>
      <c r="AL118" s="156">
        <f t="shared" ref="AL118" si="174">AF118*Z118*12/1000000</f>
        <v>0.40627549709999988</v>
      </c>
      <c r="AM118" s="156">
        <f t="shared" ref="AM118" si="175">AG118*AA118*12/1000000</f>
        <v>0.42252651698399984</v>
      </c>
      <c r="AN118" s="4"/>
      <c r="AO118" s="4"/>
    </row>
    <row r="119" spans="1:41" s="35" customFormat="1" ht="17.25" customHeight="1">
      <c r="A119" s="181" t="s">
        <v>286</v>
      </c>
      <c r="B119" s="182" t="s">
        <v>266</v>
      </c>
      <c r="C119" s="152"/>
      <c r="D119" s="155"/>
      <c r="E119" s="155"/>
      <c r="F119" s="155"/>
      <c r="G119" s="155"/>
      <c r="H119" s="155"/>
      <c r="I119" s="155"/>
      <c r="J119" s="155"/>
      <c r="K119" s="155">
        <v>0</v>
      </c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6"/>
      <c r="AC119" s="156"/>
      <c r="AD119" s="156"/>
      <c r="AE119" s="207"/>
      <c r="AF119" s="207"/>
      <c r="AG119" s="207"/>
      <c r="AH119" s="156"/>
      <c r="AI119" s="156"/>
      <c r="AJ119" s="156"/>
      <c r="AK119" s="156"/>
      <c r="AL119" s="156"/>
      <c r="AM119" s="156"/>
      <c r="AN119" s="4"/>
      <c r="AO119" s="4"/>
    </row>
    <row r="120" spans="1:41" s="35" customFormat="1" ht="17.25" customHeight="1">
      <c r="A120" s="181" t="s">
        <v>287</v>
      </c>
      <c r="B120" s="182" t="s">
        <v>229</v>
      </c>
      <c r="C120" s="152"/>
      <c r="D120" s="155"/>
      <c r="E120" s="155"/>
      <c r="F120" s="155"/>
      <c r="G120" s="155"/>
      <c r="H120" s="155"/>
      <c r="I120" s="155"/>
      <c r="J120" s="155"/>
      <c r="K120" s="155">
        <v>0</v>
      </c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6"/>
      <c r="AC120" s="156"/>
      <c r="AD120" s="156"/>
      <c r="AE120" s="207"/>
      <c r="AF120" s="207"/>
      <c r="AG120" s="207"/>
      <c r="AH120" s="156"/>
      <c r="AI120" s="156"/>
      <c r="AJ120" s="156"/>
      <c r="AK120" s="156"/>
      <c r="AL120" s="156"/>
      <c r="AM120" s="156"/>
      <c r="AN120" s="4"/>
      <c r="AO120" s="4"/>
    </row>
    <row r="121" spans="1:41" s="35" customFormat="1" ht="17.25" customHeight="1">
      <c r="A121" s="183" t="s">
        <v>288</v>
      </c>
      <c r="B121" s="184"/>
      <c r="C121" s="152"/>
      <c r="D121" s="155"/>
      <c r="E121" s="155"/>
      <c r="F121" s="155"/>
      <c r="G121" s="155"/>
      <c r="H121" s="155"/>
      <c r="I121" s="155"/>
      <c r="J121" s="155">
        <v>13.2</v>
      </c>
      <c r="K121" s="155">
        <v>9.8420000000000005</v>
      </c>
      <c r="L121" s="155">
        <f t="shared" si="159"/>
        <v>10.599834</v>
      </c>
      <c r="M121" s="155">
        <f t="shared" si="160"/>
        <v>11.172225036</v>
      </c>
      <c r="N121" s="155">
        <f t="shared" si="153"/>
        <v>11.708491837728001</v>
      </c>
      <c r="O121" s="155">
        <f t="shared" si="161"/>
        <v>12.176831511237122</v>
      </c>
      <c r="P121" s="155">
        <v>0.13</v>
      </c>
      <c r="Q121" s="155">
        <v>0.222</v>
      </c>
      <c r="R121" s="155">
        <f>Q121*1.077</f>
        <v>0.239094</v>
      </c>
      <c r="S121" s="155">
        <f>R121*1.054</f>
        <v>0.25200507599999999</v>
      </c>
      <c r="T121" s="155">
        <f t="shared" ref="T121:T126" si="176">S121*1.048</f>
        <v>0.26410131964799999</v>
      </c>
      <c r="U121" s="155">
        <f>T121*1.04</f>
        <v>0.27466537243391997</v>
      </c>
      <c r="V121" s="155">
        <v>8</v>
      </c>
      <c r="W121" s="155">
        <v>6</v>
      </c>
      <c r="X121" s="155">
        <v>6</v>
      </c>
      <c r="Y121" s="155">
        <v>6</v>
      </c>
      <c r="Z121" s="155">
        <v>6</v>
      </c>
      <c r="AA121" s="155">
        <v>6</v>
      </c>
      <c r="AB121" s="156">
        <f t="shared" si="168"/>
        <v>6250</v>
      </c>
      <c r="AC121" s="156">
        <f t="shared" si="163"/>
        <v>9526.3888888888887</v>
      </c>
      <c r="AD121" s="156">
        <f t="shared" si="163"/>
        <v>10145.604166666666</v>
      </c>
      <c r="AE121" s="207">
        <f t="shared" si="123"/>
        <v>10642.738770833332</v>
      </c>
      <c r="AF121" s="207">
        <f t="shared" si="124"/>
        <v>11121.662015520831</v>
      </c>
      <c r="AG121" s="207">
        <f t="shared" si="125"/>
        <v>11566.528496141666</v>
      </c>
      <c r="AH121" s="156">
        <v>0.6</v>
      </c>
      <c r="AI121" s="156">
        <v>0.68589999999999995</v>
      </c>
      <c r="AJ121" s="156">
        <f t="shared" ref="AJ121:AJ127" si="177">AI121*1.065</f>
        <v>0.73048349999999995</v>
      </c>
      <c r="AK121" s="156">
        <f>AE121*Y121*12/1000000</f>
        <v>0.76627719149999984</v>
      </c>
      <c r="AL121" s="156">
        <f t="shared" ref="AL121:AL123" si="178">AF121*Z121*12/1000000</f>
        <v>0.80075966511749985</v>
      </c>
      <c r="AM121" s="156">
        <f t="shared" ref="AM121:AM123" si="179">AG121*AA121*12/1000000</f>
        <v>0.8327900517222</v>
      </c>
      <c r="AN121" s="4"/>
      <c r="AO121" s="4"/>
    </row>
    <row r="122" spans="1:41" s="35" customFormat="1" ht="17.25" customHeight="1">
      <c r="A122" s="183" t="s">
        <v>289</v>
      </c>
      <c r="B122" s="184"/>
      <c r="C122" s="152"/>
      <c r="D122" s="155"/>
      <c r="E122" s="155"/>
      <c r="F122" s="155"/>
      <c r="G122" s="155"/>
      <c r="H122" s="155"/>
      <c r="I122" s="155"/>
      <c r="J122" s="155">
        <v>3.6</v>
      </c>
      <c r="K122" s="155">
        <v>4.0164999999999997</v>
      </c>
      <c r="L122" s="155">
        <f t="shared" si="159"/>
        <v>4.3257705</v>
      </c>
      <c r="M122" s="155">
        <f t="shared" si="160"/>
        <v>4.5593621070000001</v>
      </c>
      <c r="N122" s="155">
        <f t="shared" si="153"/>
        <v>4.7782114881360007</v>
      </c>
      <c r="O122" s="155">
        <f t="shared" si="161"/>
        <v>4.9693399476614406</v>
      </c>
      <c r="P122" s="155">
        <v>0.05</v>
      </c>
      <c r="Q122" s="155">
        <v>0.10299999999999999</v>
      </c>
      <c r="R122" s="155">
        <f>Q122*1.077</f>
        <v>0.11093099999999999</v>
      </c>
      <c r="S122" s="155">
        <f>R122*1.054</f>
        <v>0.11692127399999999</v>
      </c>
      <c r="T122" s="155">
        <f t="shared" si="176"/>
        <v>0.122533495152</v>
      </c>
      <c r="U122" s="155">
        <f>T122*1.04</f>
        <v>0.12743483495808</v>
      </c>
      <c r="V122" s="155">
        <v>7</v>
      </c>
      <c r="W122" s="155">
        <v>2</v>
      </c>
      <c r="X122" s="155">
        <v>2</v>
      </c>
      <c r="Y122" s="155">
        <v>2</v>
      </c>
      <c r="Z122" s="155">
        <v>2</v>
      </c>
      <c r="AA122" s="155">
        <v>2</v>
      </c>
      <c r="AB122" s="156">
        <f t="shared" si="168"/>
        <v>5119.0476190476193</v>
      </c>
      <c r="AC122" s="156">
        <f t="shared" si="163"/>
        <v>4500</v>
      </c>
      <c r="AD122" s="156">
        <f t="shared" si="163"/>
        <v>4792.5</v>
      </c>
      <c r="AE122" s="207">
        <f t="shared" si="123"/>
        <v>5027.3324999999995</v>
      </c>
      <c r="AF122" s="207">
        <f t="shared" si="124"/>
        <v>5253.5624624999991</v>
      </c>
      <c r="AG122" s="207">
        <f t="shared" si="125"/>
        <v>5463.7049609999995</v>
      </c>
      <c r="AH122" s="156">
        <v>0.43</v>
      </c>
      <c r="AI122" s="156">
        <v>0.108</v>
      </c>
      <c r="AJ122" s="156">
        <f t="shared" si="177"/>
        <v>0.11502</v>
      </c>
      <c r="AK122" s="156">
        <f>AE122*Y122*12/1000000</f>
        <v>0.12065597999999998</v>
      </c>
      <c r="AL122" s="156">
        <f t="shared" si="178"/>
        <v>0.1260854991</v>
      </c>
      <c r="AM122" s="156">
        <f t="shared" si="179"/>
        <v>0.13112891906399998</v>
      </c>
      <c r="AN122" s="4"/>
      <c r="AO122" s="4"/>
    </row>
    <row r="123" spans="1:41" s="35" customFormat="1" ht="17.25" customHeight="1">
      <c r="A123" s="183" t="s">
        <v>290</v>
      </c>
      <c r="B123" s="184"/>
      <c r="C123" s="152"/>
      <c r="D123" s="155"/>
      <c r="E123" s="155"/>
      <c r="F123" s="155"/>
      <c r="G123" s="155"/>
      <c r="H123" s="155"/>
      <c r="I123" s="155"/>
      <c r="J123" s="155">
        <v>4.8</v>
      </c>
      <c r="K123" s="155">
        <v>11.209</v>
      </c>
      <c r="L123" s="155">
        <f t="shared" si="159"/>
        <v>12.072092999999999</v>
      </c>
      <c r="M123" s="155">
        <f t="shared" si="160"/>
        <v>12.723986022</v>
      </c>
      <c r="N123" s="155">
        <f t="shared" si="153"/>
        <v>13.334737351056001</v>
      </c>
      <c r="O123" s="155">
        <f t="shared" si="161"/>
        <v>13.86812684509824</v>
      </c>
      <c r="P123" s="155">
        <v>0.14000000000000001</v>
      </c>
      <c r="Q123" s="155">
        <v>3.9E-2</v>
      </c>
      <c r="R123" s="155">
        <f>Q123*1.077</f>
        <v>4.2002999999999999E-2</v>
      </c>
      <c r="S123" s="155">
        <f>R123*1.054</f>
        <v>4.4271162000000003E-2</v>
      </c>
      <c r="T123" s="155">
        <f t="shared" si="176"/>
        <v>4.6396177776000004E-2</v>
      </c>
      <c r="U123" s="155">
        <f>T123*1.04</f>
        <v>4.8252024887040008E-2</v>
      </c>
      <c r="V123" s="155">
        <v>7</v>
      </c>
      <c r="W123" s="155">
        <v>5</v>
      </c>
      <c r="X123" s="155">
        <v>5</v>
      </c>
      <c r="Y123" s="155">
        <v>5</v>
      </c>
      <c r="Z123" s="155">
        <v>5</v>
      </c>
      <c r="AA123" s="155">
        <v>5</v>
      </c>
      <c r="AB123" s="156">
        <f t="shared" si="168"/>
        <v>8333.3333333333339</v>
      </c>
      <c r="AC123" s="156">
        <f t="shared" si="163"/>
        <v>9850</v>
      </c>
      <c r="AD123" s="156">
        <f t="shared" si="163"/>
        <v>10490.25</v>
      </c>
      <c r="AE123" s="207">
        <f t="shared" si="123"/>
        <v>11004.27225</v>
      </c>
      <c r="AF123" s="207">
        <f t="shared" si="124"/>
        <v>11499.464501249999</v>
      </c>
      <c r="AG123" s="207">
        <f t="shared" si="125"/>
        <v>11959.4430813</v>
      </c>
      <c r="AH123" s="156">
        <v>0.7</v>
      </c>
      <c r="AI123" s="156">
        <v>0.59099999999999997</v>
      </c>
      <c r="AJ123" s="156">
        <f t="shared" si="177"/>
        <v>0.62941499999999995</v>
      </c>
      <c r="AK123" s="156">
        <f>AE123*Y123*12/1000000</f>
        <v>0.66025633499999992</v>
      </c>
      <c r="AL123" s="156">
        <f t="shared" si="178"/>
        <v>0.68996787007499982</v>
      </c>
      <c r="AM123" s="156">
        <f t="shared" si="179"/>
        <v>0.71756658487799996</v>
      </c>
      <c r="AN123" s="4"/>
      <c r="AO123" s="4"/>
    </row>
    <row r="124" spans="1:41" s="35" customFormat="1" ht="17.25" customHeight="1">
      <c r="A124" s="183" t="s">
        <v>291</v>
      </c>
      <c r="B124" s="184" t="s">
        <v>229</v>
      </c>
      <c r="C124" s="152"/>
      <c r="D124" s="155"/>
      <c r="E124" s="155"/>
      <c r="F124" s="155"/>
      <c r="G124" s="155"/>
      <c r="H124" s="155"/>
      <c r="I124" s="155"/>
      <c r="J124" s="155"/>
      <c r="K124" s="155">
        <v>0</v>
      </c>
      <c r="L124" s="155"/>
      <c r="M124" s="155"/>
      <c r="N124" s="155"/>
      <c r="O124" s="155"/>
      <c r="P124" s="155"/>
      <c r="Q124" s="155">
        <v>0</v>
      </c>
      <c r="R124" s="155"/>
      <c r="S124" s="155"/>
      <c r="T124" s="155"/>
      <c r="U124" s="155"/>
      <c r="V124" s="155"/>
      <c r="W124" s="155">
        <v>1</v>
      </c>
      <c r="X124" s="155">
        <v>1</v>
      </c>
      <c r="Y124" s="155">
        <v>1</v>
      </c>
      <c r="Z124" s="155">
        <v>1</v>
      </c>
      <c r="AA124" s="155">
        <v>1</v>
      </c>
      <c r="AB124" s="156"/>
      <c r="AC124" s="156">
        <f t="shared" si="163"/>
        <v>5333.333333333333</v>
      </c>
      <c r="AD124" s="156">
        <f t="shared" si="163"/>
        <v>5680</v>
      </c>
      <c r="AE124" s="207">
        <f t="shared" si="123"/>
        <v>5958.32</v>
      </c>
      <c r="AF124" s="207">
        <f t="shared" si="124"/>
        <v>6226.4443999999994</v>
      </c>
      <c r="AG124" s="207">
        <f t="shared" si="125"/>
        <v>6475.502176</v>
      </c>
      <c r="AH124" s="156"/>
      <c r="AI124" s="156">
        <v>6.4000000000000001E-2</v>
      </c>
      <c r="AJ124" s="156">
        <f t="shared" si="177"/>
        <v>6.8159999999999998E-2</v>
      </c>
      <c r="AK124" s="156">
        <f t="shared" ref="AK124:AK127" si="180">AE124*Y124*12/1000000</f>
        <v>7.1499839999999995E-2</v>
      </c>
      <c r="AL124" s="156">
        <f t="shared" ref="AL124:AL127" si="181">AF124*Z124*12/1000000</f>
        <v>7.4717332799999994E-2</v>
      </c>
      <c r="AM124" s="156">
        <f t="shared" ref="AM124:AM127" si="182">AG124*AA124*12/1000000</f>
        <v>7.770602611199999E-2</v>
      </c>
      <c r="AN124" s="4"/>
      <c r="AO124" s="4"/>
    </row>
    <row r="125" spans="1:41" s="35" customFormat="1" ht="17.25" customHeight="1">
      <c r="A125" s="183" t="s">
        <v>292</v>
      </c>
      <c r="B125" s="184"/>
      <c r="C125" s="152"/>
      <c r="D125" s="155"/>
      <c r="E125" s="155"/>
      <c r="F125" s="155"/>
      <c r="G125" s="155"/>
      <c r="H125" s="155"/>
      <c r="I125" s="155"/>
      <c r="J125" s="155">
        <v>7.1</v>
      </c>
      <c r="K125" s="155">
        <v>15.5227</v>
      </c>
      <c r="L125" s="155">
        <f t="shared" si="159"/>
        <v>16.717947899999999</v>
      </c>
      <c r="M125" s="155">
        <f t="shared" si="160"/>
        <v>17.620717086599999</v>
      </c>
      <c r="N125" s="155">
        <f t="shared" si="153"/>
        <v>18.466511506756799</v>
      </c>
      <c r="O125" s="155">
        <f t="shared" si="161"/>
        <v>19.20517196702707</v>
      </c>
      <c r="P125" s="155">
        <v>-0.3</v>
      </c>
      <c r="Q125" s="155">
        <v>0.85329999999999995</v>
      </c>
      <c r="R125" s="155">
        <f>Q125*1.077</f>
        <v>0.91900409999999988</v>
      </c>
      <c r="S125" s="155">
        <f>R125*1.054</f>
        <v>0.96863032139999994</v>
      </c>
      <c r="T125" s="155">
        <f t="shared" si="176"/>
        <v>1.0151245768271999</v>
      </c>
      <c r="U125" s="155">
        <f>T125*1.04</f>
        <v>1.0557295599002881</v>
      </c>
      <c r="V125" s="155">
        <v>2</v>
      </c>
      <c r="W125" s="155">
        <v>3</v>
      </c>
      <c r="X125" s="155">
        <v>3</v>
      </c>
      <c r="Y125" s="155">
        <v>3</v>
      </c>
      <c r="Z125" s="155">
        <v>3</v>
      </c>
      <c r="AA125" s="155">
        <v>3</v>
      </c>
      <c r="AB125" s="156">
        <f t="shared" si="168"/>
        <v>8333.3333333333339</v>
      </c>
      <c r="AC125" s="156">
        <f t="shared" si="163"/>
        <v>10191.666666666666</v>
      </c>
      <c r="AD125" s="156">
        <f t="shared" si="163"/>
        <v>10854.125</v>
      </c>
      <c r="AE125" s="207">
        <f t="shared" si="123"/>
        <v>11385.977124999999</v>
      </c>
      <c r="AF125" s="207">
        <f t="shared" si="124"/>
        <v>11898.346095624998</v>
      </c>
      <c r="AG125" s="207">
        <f t="shared" si="125"/>
        <v>12374.279939449998</v>
      </c>
      <c r="AH125" s="156">
        <v>0.2</v>
      </c>
      <c r="AI125" s="156">
        <v>0.3669</v>
      </c>
      <c r="AJ125" s="156">
        <f t="shared" si="177"/>
        <v>0.3907485</v>
      </c>
      <c r="AK125" s="156">
        <f t="shared" si="180"/>
        <v>0.40989517650000001</v>
      </c>
      <c r="AL125" s="156">
        <f t="shared" si="181"/>
        <v>0.42834045944249993</v>
      </c>
      <c r="AM125" s="156">
        <f t="shared" si="182"/>
        <v>0.44547407782019993</v>
      </c>
      <c r="AN125" s="4"/>
      <c r="AO125" s="4"/>
    </row>
    <row r="126" spans="1:41" s="35" customFormat="1" ht="17.25" customHeight="1">
      <c r="A126" s="181" t="s">
        <v>293</v>
      </c>
      <c r="B126" s="182"/>
      <c r="C126" s="152"/>
      <c r="D126" s="155"/>
      <c r="E126" s="155"/>
      <c r="F126" s="155"/>
      <c r="G126" s="155"/>
      <c r="H126" s="155"/>
      <c r="I126" s="155"/>
      <c r="J126" s="155">
        <v>5.5</v>
      </c>
      <c r="K126" s="155">
        <v>6.5030000000000001</v>
      </c>
      <c r="L126" s="155">
        <f t="shared" si="159"/>
        <v>7.0037310000000002</v>
      </c>
      <c r="M126" s="155">
        <f t="shared" si="160"/>
        <v>7.3819324740000001</v>
      </c>
      <c r="N126" s="155">
        <f t="shared" si="153"/>
        <v>7.7362652327520003</v>
      </c>
      <c r="O126" s="155">
        <f t="shared" si="161"/>
        <v>8.04571584206208</v>
      </c>
      <c r="P126" s="155">
        <v>0.6</v>
      </c>
      <c r="Q126" s="155">
        <v>1.3009999999999999</v>
      </c>
      <c r="R126" s="155">
        <f>Q126*1.077</f>
        <v>1.4011769999999999</v>
      </c>
      <c r="S126" s="155">
        <f>R126*1.054</f>
        <v>1.4768405579999999</v>
      </c>
      <c r="T126" s="155">
        <f t="shared" si="176"/>
        <v>1.5477289047839999</v>
      </c>
      <c r="U126" s="155">
        <f>T126*1.04</f>
        <v>1.60963806097536</v>
      </c>
      <c r="V126" s="155">
        <v>6</v>
      </c>
      <c r="W126" s="155">
        <v>6</v>
      </c>
      <c r="X126" s="155"/>
      <c r="Y126" s="155"/>
      <c r="Z126" s="155"/>
      <c r="AA126" s="155"/>
      <c r="AB126" s="156">
        <f t="shared" si="168"/>
        <v>5277.7777777777783</v>
      </c>
      <c r="AC126" s="156">
        <f t="shared" si="163"/>
        <v>6972.2222222222226</v>
      </c>
      <c r="AD126" s="156"/>
      <c r="AE126" s="207"/>
      <c r="AF126" s="207"/>
      <c r="AG126" s="207"/>
      <c r="AH126" s="156">
        <v>0.38</v>
      </c>
      <c r="AI126" s="156">
        <v>0.502</v>
      </c>
      <c r="AJ126" s="156">
        <f t="shared" si="177"/>
        <v>0.53462999999999994</v>
      </c>
      <c r="AK126" s="156">
        <f t="shared" si="180"/>
        <v>0</v>
      </c>
      <c r="AL126" s="156">
        <f t="shared" si="181"/>
        <v>0</v>
      </c>
      <c r="AM126" s="156">
        <f t="shared" si="182"/>
        <v>0</v>
      </c>
      <c r="AN126" s="4"/>
      <c r="AO126" s="4"/>
    </row>
    <row r="127" spans="1:41" s="35" customFormat="1" ht="17.25" customHeight="1">
      <c r="A127" s="181" t="s">
        <v>294</v>
      </c>
      <c r="B127" s="182"/>
      <c r="C127" s="152"/>
      <c r="D127" s="155"/>
      <c r="E127" s="155"/>
      <c r="F127" s="155"/>
      <c r="G127" s="155"/>
      <c r="H127" s="155"/>
      <c r="I127" s="155"/>
      <c r="J127" s="155">
        <v>0.3</v>
      </c>
      <c r="K127" s="155">
        <v>0.01</v>
      </c>
      <c r="L127" s="155">
        <f t="shared" si="159"/>
        <v>1.077E-2</v>
      </c>
      <c r="M127" s="155">
        <f t="shared" si="160"/>
        <v>1.135158E-2</v>
      </c>
      <c r="N127" s="155">
        <f t="shared" si="153"/>
        <v>1.189645584E-2</v>
      </c>
      <c r="O127" s="155">
        <f t="shared" si="161"/>
        <v>1.23723140736E-2</v>
      </c>
      <c r="P127" s="155">
        <v>0.03</v>
      </c>
      <c r="Q127" s="155">
        <v>0</v>
      </c>
      <c r="R127" s="155"/>
      <c r="S127" s="155"/>
      <c r="T127" s="155"/>
      <c r="U127" s="155"/>
      <c r="V127" s="155">
        <v>1</v>
      </c>
      <c r="W127" s="155">
        <v>1</v>
      </c>
      <c r="X127" s="155">
        <v>1</v>
      </c>
      <c r="Y127" s="155">
        <v>1</v>
      </c>
      <c r="Z127" s="155">
        <v>1</v>
      </c>
      <c r="AA127" s="155">
        <v>1</v>
      </c>
      <c r="AB127" s="156">
        <f t="shared" si="168"/>
        <v>833.33333333333337</v>
      </c>
      <c r="AC127" s="156">
        <f t="shared" si="163"/>
        <v>5875</v>
      </c>
      <c r="AD127" s="156">
        <f t="shared" si="163"/>
        <v>6256.8749999999991</v>
      </c>
      <c r="AE127" s="207">
        <f t="shared" si="123"/>
        <v>6563.4618749999991</v>
      </c>
      <c r="AF127" s="207">
        <f t="shared" si="124"/>
        <v>6858.8176593749986</v>
      </c>
      <c r="AG127" s="207">
        <f t="shared" si="125"/>
        <v>7133.1703657499984</v>
      </c>
      <c r="AH127" s="156">
        <v>0.01</v>
      </c>
      <c r="AI127" s="156">
        <v>7.0499999999999993E-2</v>
      </c>
      <c r="AJ127" s="156">
        <f t="shared" si="177"/>
        <v>7.5082499999999983E-2</v>
      </c>
      <c r="AK127" s="156">
        <f t="shared" si="180"/>
        <v>7.8761542499999976E-2</v>
      </c>
      <c r="AL127" s="156">
        <f t="shared" si="181"/>
        <v>8.2305811912499985E-2</v>
      </c>
      <c r="AM127" s="156">
        <f t="shared" si="182"/>
        <v>8.5598044388999983E-2</v>
      </c>
      <c r="AN127" s="4"/>
      <c r="AO127" s="4"/>
    </row>
    <row r="128" spans="1:41" s="35" customFormat="1" ht="17.25" customHeight="1">
      <c r="A128" s="181" t="s">
        <v>295</v>
      </c>
      <c r="B128" s="182" t="s">
        <v>264</v>
      </c>
      <c r="C128" s="152"/>
      <c r="D128" s="155"/>
      <c r="E128" s="155"/>
      <c r="F128" s="155"/>
      <c r="G128" s="155"/>
      <c r="H128" s="155"/>
      <c r="I128" s="155"/>
      <c r="J128" s="155"/>
      <c r="K128" s="155">
        <v>0</v>
      </c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6"/>
      <c r="AC128" s="156"/>
      <c r="AD128" s="156"/>
      <c r="AE128" s="207"/>
      <c r="AF128" s="207"/>
      <c r="AG128" s="207"/>
      <c r="AH128" s="156"/>
      <c r="AI128" s="156"/>
      <c r="AJ128" s="156"/>
      <c r="AK128" s="156"/>
      <c r="AL128" s="156"/>
      <c r="AM128" s="156"/>
      <c r="AN128" s="4"/>
      <c r="AO128" s="4"/>
    </row>
    <row r="129" spans="1:41" s="35" customFormat="1" ht="17.25" customHeight="1">
      <c r="A129" s="179" t="s">
        <v>296</v>
      </c>
      <c r="B129" s="180" t="s">
        <v>266</v>
      </c>
      <c r="C129" s="152"/>
      <c r="D129" s="155"/>
      <c r="E129" s="155"/>
      <c r="F129" s="155"/>
      <c r="G129" s="155"/>
      <c r="H129" s="155"/>
      <c r="I129" s="155"/>
      <c r="J129" s="155">
        <v>0</v>
      </c>
      <c r="K129" s="155">
        <v>0</v>
      </c>
      <c r="L129" s="155"/>
      <c r="M129" s="155"/>
      <c r="N129" s="155"/>
      <c r="O129" s="155"/>
      <c r="P129" s="155">
        <v>0</v>
      </c>
      <c r="Q129" s="155"/>
      <c r="R129" s="155"/>
      <c r="S129" s="155"/>
      <c r="T129" s="155"/>
      <c r="U129" s="155"/>
      <c r="V129" s="155">
        <v>0</v>
      </c>
      <c r="W129" s="155"/>
      <c r="X129" s="155"/>
      <c r="Y129" s="155"/>
      <c r="Z129" s="155"/>
      <c r="AA129" s="155"/>
      <c r="AB129" s="156"/>
      <c r="AC129" s="156"/>
      <c r="AD129" s="156"/>
      <c r="AE129" s="207"/>
      <c r="AF129" s="207"/>
      <c r="AG129" s="207"/>
      <c r="AH129" s="156"/>
      <c r="AI129" s="156"/>
      <c r="AJ129" s="156"/>
      <c r="AK129" s="156"/>
      <c r="AL129" s="156"/>
      <c r="AM129" s="156"/>
      <c r="AN129" s="4"/>
      <c r="AO129" s="4"/>
    </row>
    <row r="130" spans="1:41" s="35" customFormat="1" ht="25.5" customHeight="1">
      <c r="A130" s="179" t="s">
        <v>297</v>
      </c>
      <c r="B130" s="180"/>
      <c r="C130" s="152"/>
      <c r="D130" s="155"/>
      <c r="E130" s="155"/>
      <c r="F130" s="155"/>
      <c r="G130" s="155"/>
      <c r="H130" s="155"/>
      <c r="I130" s="155"/>
      <c r="J130" s="155">
        <v>0</v>
      </c>
      <c r="K130" s="155">
        <v>3.8410000000000002</v>
      </c>
      <c r="L130" s="155">
        <f t="shared" si="159"/>
        <v>4.1367570000000002</v>
      </c>
      <c r="M130" s="155">
        <f t="shared" si="160"/>
        <v>4.3601418780000003</v>
      </c>
      <c r="N130" s="155">
        <f t="shared" si="153"/>
        <v>4.5694286881440007</v>
      </c>
      <c r="O130" s="155">
        <f t="shared" si="161"/>
        <v>4.752205835669761</v>
      </c>
      <c r="P130" s="155">
        <v>0</v>
      </c>
      <c r="Q130" s="155">
        <v>1.2E-2</v>
      </c>
      <c r="R130" s="155">
        <f>Q130*1.077</f>
        <v>1.2924E-2</v>
      </c>
      <c r="S130" s="155">
        <f>R130*1.054</f>
        <v>1.3621896E-2</v>
      </c>
      <c r="T130" s="155">
        <f t="shared" ref="T130" si="183">S130*1.048</f>
        <v>1.4275747008E-2</v>
      </c>
      <c r="U130" s="155">
        <f>T130*1.04</f>
        <v>1.484677688832E-2</v>
      </c>
      <c r="V130" s="155">
        <v>0</v>
      </c>
      <c r="W130" s="155">
        <v>3</v>
      </c>
      <c r="X130" s="155">
        <v>2</v>
      </c>
      <c r="Y130" s="155">
        <v>2</v>
      </c>
      <c r="Z130" s="155">
        <v>2</v>
      </c>
      <c r="AA130" s="155">
        <v>2</v>
      </c>
      <c r="AB130" s="156"/>
      <c r="AC130" s="156">
        <f t="shared" si="163"/>
        <v>5677.7777777777774</v>
      </c>
      <c r="AD130" s="156">
        <f t="shared" si="163"/>
        <v>9070.25</v>
      </c>
      <c r="AE130" s="207">
        <f t="shared" si="123"/>
        <v>9514.6922500000001</v>
      </c>
      <c r="AF130" s="207">
        <f t="shared" si="124"/>
        <v>9942.8534012499986</v>
      </c>
      <c r="AG130" s="207">
        <f t="shared" si="125"/>
        <v>10340.567537299999</v>
      </c>
      <c r="AH130" s="156"/>
      <c r="AI130" s="156">
        <v>0.2044</v>
      </c>
      <c r="AJ130" s="156">
        <f t="shared" ref="AJ130" si="184">AI130*1.065</f>
        <v>0.21768599999999999</v>
      </c>
      <c r="AK130" s="156">
        <f t="shared" ref="AK130" si="185">AE130*Y130*12/1000000</f>
        <v>0.22835261400000001</v>
      </c>
      <c r="AL130" s="156">
        <f t="shared" ref="AL130" si="186">AF130*Z130*12/1000000</f>
        <v>0.23862848162999997</v>
      </c>
      <c r="AM130" s="156">
        <f t="shared" ref="AM130" si="187">AG130*AA130*12/1000000</f>
        <v>0.24817362089520001</v>
      </c>
      <c r="AN130" s="4"/>
      <c r="AO130" s="4"/>
    </row>
    <row r="131" spans="1:41" s="35" customFormat="1" ht="17.25" customHeight="1">
      <c r="A131" s="183" t="s">
        <v>298</v>
      </c>
      <c r="B131" s="184"/>
      <c r="C131" s="152"/>
      <c r="D131" s="155"/>
      <c r="E131" s="155"/>
      <c r="F131" s="155"/>
      <c r="G131" s="155"/>
      <c r="H131" s="155"/>
      <c r="I131" s="155"/>
      <c r="J131" s="155">
        <v>0</v>
      </c>
      <c r="K131" s="155">
        <v>0</v>
      </c>
      <c r="L131" s="155"/>
      <c r="M131" s="155"/>
      <c r="N131" s="155"/>
      <c r="O131" s="155"/>
      <c r="P131" s="155">
        <v>0</v>
      </c>
      <c r="Q131" s="155"/>
      <c r="R131" s="155"/>
      <c r="S131" s="155"/>
      <c r="T131" s="155"/>
      <c r="U131" s="155"/>
      <c r="V131" s="155">
        <v>0</v>
      </c>
      <c r="W131" s="155"/>
      <c r="X131" s="155"/>
      <c r="Y131" s="155"/>
      <c r="Z131" s="155"/>
      <c r="AA131" s="155"/>
      <c r="AB131" s="156"/>
      <c r="AC131" s="156"/>
      <c r="AD131" s="156"/>
      <c r="AE131" s="207"/>
      <c r="AF131" s="207"/>
      <c r="AG131" s="207"/>
      <c r="AH131" s="156"/>
      <c r="AI131" s="156"/>
      <c r="AJ131" s="156"/>
      <c r="AK131" s="156"/>
      <c r="AL131" s="156"/>
      <c r="AM131" s="156"/>
      <c r="AN131" s="4"/>
      <c r="AO131" s="4"/>
    </row>
    <row r="132" spans="1:41" s="35" customFormat="1" ht="17.25" customHeight="1">
      <c r="A132" s="181" t="s">
        <v>299</v>
      </c>
      <c r="B132" s="182"/>
      <c r="C132" s="152"/>
      <c r="D132" s="155"/>
      <c r="E132" s="155"/>
      <c r="F132" s="155"/>
      <c r="G132" s="155"/>
      <c r="H132" s="155"/>
      <c r="I132" s="155"/>
      <c r="J132" s="155">
        <v>5.4</v>
      </c>
      <c r="K132" s="155">
        <v>7.6289999999999996</v>
      </c>
      <c r="L132" s="155">
        <f t="shared" si="159"/>
        <v>8.2164329999999985</v>
      </c>
      <c r="M132" s="155">
        <f t="shared" si="160"/>
        <v>8.6601203819999988</v>
      </c>
      <c r="N132" s="155">
        <f t="shared" si="153"/>
        <v>9.0758061603359987</v>
      </c>
      <c r="O132" s="155">
        <f t="shared" si="161"/>
        <v>9.4388384067494382</v>
      </c>
      <c r="P132" s="155">
        <v>0.03</v>
      </c>
      <c r="Q132" s="155">
        <v>0.185</v>
      </c>
      <c r="R132" s="155">
        <f>Q132*1.077</f>
        <v>0.19924499999999998</v>
      </c>
      <c r="S132" s="155">
        <f>R132*1.054</f>
        <v>0.21000422999999999</v>
      </c>
      <c r="T132" s="155">
        <f t="shared" ref="T132:T133" si="188">S132*1.048</f>
        <v>0.22008443304</v>
      </c>
      <c r="U132" s="155">
        <f>T132*1.04</f>
        <v>0.2288878103616</v>
      </c>
      <c r="V132" s="155">
        <v>5</v>
      </c>
      <c r="W132" s="155">
        <v>7</v>
      </c>
      <c r="X132" s="155">
        <v>3</v>
      </c>
      <c r="Y132" s="155">
        <v>3</v>
      </c>
      <c r="Z132" s="155">
        <v>3</v>
      </c>
      <c r="AA132" s="155">
        <v>3</v>
      </c>
      <c r="AB132" s="156">
        <f t="shared" si="168"/>
        <v>6666.666666666667</v>
      </c>
      <c r="AC132" s="156">
        <f t="shared" si="163"/>
        <v>5472.6190476190468</v>
      </c>
      <c r="AD132" s="156">
        <f t="shared" si="163"/>
        <v>13599.458333333334</v>
      </c>
      <c r="AE132" s="207">
        <f t="shared" si="123"/>
        <v>14265.831791666666</v>
      </c>
      <c r="AF132" s="207">
        <f t="shared" si="124"/>
        <v>14907.794222291664</v>
      </c>
      <c r="AG132" s="207">
        <f t="shared" si="125"/>
        <v>15504.105991183331</v>
      </c>
      <c r="AH132" s="156">
        <v>0.4</v>
      </c>
      <c r="AI132" s="156">
        <v>0.4597</v>
      </c>
      <c r="AJ132" s="156">
        <f t="shared" ref="AJ132:AJ135" si="189">AI132*1.065</f>
        <v>0.48958049999999997</v>
      </c>
      <c r="AK132" s="156">
        <f t="shared" ref="AK132:AK135" si="190">AE132*Y132*12/1000000</f>
        <v>0.51356994449999993</v>
      </c>
      <c r="AL132" s="156">
        <f t="shared" ref="AL132:AL135" si="191">AF132*Z132*12/1000000</f>
        <v>0.53668059200249996</v>
      </c>
      <c r="AM132" s="156">
        <f t="shared" ref="AM132:AM135" si="192">AG132*AA132*12/1000000</f>
        <v>0.55814781568259986</v>
      </c>
      <c r="AN132" s="4"/>
      <c r="AO132" s="4"/>
    </row>
    <row r="133" spans="1:41" s="35" customFormat="1" ht="17.25" customHeight="1">
      <c r="A133" s="181" t="s">
        <v>300</v>
      </c>
      <c r="B133" s="182"/>
      <c r="C133" s="152"/>
      <c r="D133" s="155"/>
      <c r="E133" s="155"/>
      <c r="F133" s="155"/>
      <c r="G133" s="155"/>
      <c r="H133" s="155"/>
      <c r="I133" s="155"/>
      <c r="J133" s="155">
        <v>2.2000000000000002</v>
      </c>
      <c r="K133" s="155">
        <v>6.5</v>
      </c>
      <c r="L133" s="155">
        <f t="shared" si="159"/>
        <v>7.0004999999999997</v>
      </c>
      <c r="M133" s="155">
        <f t="shared" si="160"/>
        <v>7.3785270000000001</v>
      </c>
      <c r="N133" s="155">
        <f t="shared" si="153"/>
        <v>7.7326962960000003</v>
      </c>
      <c r="O133" s="155">
        <f t="shared" si="161"/>
        <v>8.0420041478400002</v>
      </c>
      <c r="P133" s="155">
        <v>0.23</v>
      </c>
      <c r="Q133" s="155">
        <v>3.2719999999999998</v>
      </c>
      <c r="R133" s="155">
        <f>Q133*1.077</f>
        <v>3.5239439999999997</v>
      </c>
      <c r="S133" s="155">
        <f>R133*1.054</f>
        <v>3.714236976</v>
      </c>
      <c r="T133" s="155">
        <f t="shared" si="188"/>
        <v>3.8925203508480002</v>
      </c>
      <c r="U133" s="155">
        <f>T133*1.04</f>
        <v>4.0482211648819204</v>
      </c>
      <c r="V133" s="155">
        <v>7</v>
      </c>
      <c r="W133" s="155">
        <v>7</v>
      </c>
      <c r="X133" s="155">
        <v>6</v>
      </c>
      <c r="Y133" s="155">
        <v>6</v>
      </c>
      <c r="Z133" s="155">
        <v>6</v>
      </c>
      <c r="AA133" s="155">
        <v>6</v>
      </c>
      <c r="AB133" s="156">
        <f t="shared" si="168"/>
        <v>5952.3809523809532</v>
      </c>
      <c r="AC133" s="156">
        <f t="shared" si="163"/>
        <v>4071.4285714285711</v>
      </c>
      <c r="AD133" s="156">
        <f t="shared" si="163"/>
        <v>5058.75</v>
      </c>
      <c r="AE133" s="207">
        <f t="shared" si="123"/>
        <v>5306.6287499999999</v>
      </c>
      <c r="AF133" s="207">
        <f t="shared" si="124"/>
        <v>5545.427043749999</v>
      </c>
      <c r="AG133" s="207">
        <f t="shared" si="125"/>
        <v>5767.2441254999994</v>
      </c>
      <c r="AH133" s="156">
        <v>0.5</v>
      </c>
      <c r="AI133" s="156">
        <v>0.34200000000000003</v>
      </c>
      <c r="AJ133" s="156">
        <f t="shared" si="189"/>
        <v>0.36423</v>
      </c>
      <c r="AK133" s="156">
        <f t="shared" si="190"/>
        <v>0.38207727000000002</v>
      </c>
      <c r="AL133" s="156">
        <f t="shared" si="191"/>
        <v>0.39927074714999994</v>
      </c>
      <c r="AM133" s="156">
        <f t="shared" si="192"/>
        <v>0.4152415770359999</v>
      </c>
      <c r="AN133" s="4"/>
      <c r="AO133" s="4"/>
    </row>
    <row r="134" spans="1:41" s="35" customFormat="1" ht="17.25" customHeight="1">
      <c r="A134" s="181" t="s">
        <v>301</v>
      </c>
      <c r="B134" s="182" t="s">
        <v>302</v>
      </c>
      <c r="C134" s="152"/>
      <c r="D134" s="155"/>
      <c r="E134" s="155"/>
      <c r="F134" s="155"/>
      <c r="G134" s="155"/>
      <c r="H134" s="155"/>
      <c r="I134" s="155"/>
      <c r="J134" s="155"/>
      <c r="K134" s="155">
        <v>0</v>
      </c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  <c r="AA134" s="155"/>
      <c r="AB134" s="156"/>
      <c r="AC134" s="156"/>
      <c r="AD134" s="156"/>
      <c r="AE134" s="207"/>
      <c r="AF134" s="207"/>
      <c r="AG134" s="207"/>
      <c r="AH134" s="156"/>
      <c r="AI134" s="156">
        <v>0.16300000000000001</v>
      </c>
      <c r="AJ134" s="156">
        <f t="shared" si="189"/>
        <v>0.173595</v>
      </c>
      <c r="AK134" s="156">
        <f t="shared" si="190"/>
        <v>0</v>
      </c>
      <c r="AL134" s="156">
        <f t="shared" si="191"/>
        <v>0</v>
      </c>
      <c r="AM134" s="156">
        <f t="shared" si="192"/>
        <v>0</v>
      </c>
      <c r="AN134" s="4"/>
      <c r="AO134" s="4"/>
    </row>
    <row r="135" spans="1:41" s="35" customFormat="1" ht="17.25" customHeight="1">
      <c r="A135" s="181" t="s">
        <v>303</v>
      </c>
      <c r="B135" s="182" t="s">
        <v>266</v>
      </c>
      <c r="C135" s="152"/>
      <c r="D135" s="155"/>
      <c r="E135" s="155"/>
      <c r="F135" s="155"/>
      <c r="G135" s="155"/>
      <c r="H135" s="155"/>
      <c r="I135" s="155"/>
      <c r="J135" s="155">
        <v>7.2</v>
      </c>
      <c r="K135" s="155">
        <v>0</v>
      </c>
      <c r="L135" s="155"/>
      <c r="M135" s="155"/>
      <c r="N135" s="155"/>
      <c r="O135" s="155"/>
      <c r="P135" s="155">
        <v>0.67</v>
      </c>
      <c r="Q135" s="155">
        <v>0</v>
      </c>
      <c r="R135" s="155"/>
      <c r="S135" s="155"/>
      <c r="T135" s="155"/>
      <c r="U135" s="155"/>
      <c r="V135" s="155">
        <v>8</v>
      </c>
      <c r="W135" s="155">
        <v>1</v>
      </c>
      <c r="X135" s="155"/>
      <c r="Y135" s="155"/>
      <c r="Z135" s="155"/>
      <c r="AA135" s="155"/>
      <c r="AB135" s="156">
        <f t="shared" si="168"/>
        <v>8125</v>
      </c>
      <c r="AC135" s="156">
        <f t="shared" si="163"/>
        <v>7500</v>
      </c>
      <c r="AD135" s="156"/>
      <c r="AE135" s="207"/>
      <c r="AF135" s="207"/>
      <c r="AG135" s="207"/>
      <c r="AH135" s="156">
        <v>0.78</v>
      </c>
      <c r="AI135" s="156">
        <v>0.09</v>
      </c>
      <c r="AJ135" s="156">
        <f t="shared" si="189"/>
        <v>9.5849999999999991E-2</v>
      </c>
      <c r="AK135" s="156">
        <f t="shared" si="190"/>
        <v>0</v>
      </c>
      <c r="AL135" s="156">
        <f t="shared" si="191"/>
        <v>0</v>
      </c>
      <c r="AM135" s="156">
        <f t="shared" si="192"/>
        <v>0</v>
      </c>
      <c r="AN135" s="4"/>
      <c r="AO135" s="4"/>
    </row>
    <row r="136" spans="1:41" s="35" customFormat="1" ht="17.25" customHeight="1">
      <c r="A136" s="181" t="s">
        <v>304</v>
      </c>
      <c r="B136" s="182" t="s">
        <v>197</v>
      </c>
      <c r="C136" s="152"/>
      <c r="D136" s="155"/>
      <c r="E136" s="155"/>
      <c r="F136" s="155"/>
      <c r="G136" s="155"/>
      <c r="H136" s="155"/>
      <c r="I136" s="155"/>
      <c r="J136" s="155">
        <v>55.6</v>
      </c>
      <c r="K136" s="155">
        <v>0</v>
      </c>
      <c r="L136" s="155"/>
      <c r="M136" s="155"/>
      <c r="N136" s="155"/>
      <c r="O136" s="155"/>
      <c r="P136" s="155">
        <v>2.9</v>
      </c>
      <c r="Q136" s="155"/>
      <c r="R136" s="155"/>
      <c r="S136" s="155"/>
      <c r="T136" s="155"/>
      <c r="U136" s="155"/>
      <c r="V136" s="155">
        <v>3</v>
      </c>
      <c r="W136" s="155">
        <v>2</v>
      </c>
      <c r="X136" s="155"/>
      <c r="Y136" s="155"/>
      <c r="Z136" s="155"/>
      <c r="AA136" s="155"/>
      <c r="AB136" s="156">
        <f t="shared" si="168"/>
        <v>5555.5555555555557</v>
      </c>
      <c r="AC136" s="156"/>
      <c r="AD136" s="156"/>
      <c r="AE136" s="207"/>
      <c r="AF136" s="207"/>
      <c r="AG136" s="207"/>
      <c r="AH136" s="156">
        <v>0.2</v>
      </c>
      <c r="AI136" s="156"/>
      <c r="AJ136" s="156"/>
      <c r="AK136" s="156"/>
      <c r="AL136" s="156"/>
      <c r="AM136" s="156"/>
      <c r="AN136" s="4"/>
      <c r="AO136" s="4"/>
    </row>
    <row r="137" spans="1:41" s="35" customFormat="1" ht="17.25" customHeight="1">
      <c r="A137" s="179" t="s">
        <v>305</v>
      </c>
      <c r="B137" s="180"/>
      <c r="C137" s="152"/>
      <c r="D137" s="155"/>
      <c r="E137" s="155"/>
      <c r="F137" s="155"/>
      <c r="G137" s="155"/>
      <c r="H137" s="155"/>
      <c r="I137" s="155"/>
      <c r="J137" s="155">
        <v>4.7</v>
      </c>
      <c r="K137" s="155">
        <v>5.3636999999999997</v>
      </c>
      <c r="L137" s="155">
        <f t="shared" si="159"/>
        <v>5.7767048999999995</v>
      </c>
      <c r="M137" s="155">
        <f t="shared" si="160"/>
        <v>6.0886469645999997</v>
      </c>
      <c r="N137" s="155">
        <f t="shared" si="153"/>
        <v>6.3809020189007999</v>
      </c>
      <c r="O137" s="155">
        <f t="shared" si="161"/>
        <v>6.636138099656832</v>
      </c>
      <c r="P137" s="155">
        <v>0.8</v>
      </c>
      <c r="Q137" s="155">
        <v>0.92910000000000004</v>
      </c>
      <c r="R137" s="155">
        <f>Q137*1.077</f>
        <v>1.0006406999999999</v>
      </c>
      <c r="S137" s="155">
        <f>R137*1.054</f>
        <v>1.0546752978</v>
      </c>
      <c r="T137" s="155">
        <f t="shared" ref="T137:T140" si="193">S137*1.048</f>
        <v>1.1052997120944001</v>
      </c>
      <c r="U137" s="155">
        <f>T137*1.04</f>
        <v>1.1495117005781761</v>
      </c>
      <c r="V137" s="155">
        <v>3</v>
      </c>
      <c r="W137" s="155"/>
      <c r="X137" s="155">
        <v>1</v>
      </c>
      <c r="Y137" s="155">
        <v>1</v>
      </c>
      <c r="Z137" s="155">
        <v>1</v>
      </c>
      <c r="AA137" s="155">
        <v>1</v>
      </c>
      <c r="AB137" s="156">
        <f t="shared" si="168"/>
        <v>8333.3333333333339</v>
      </c>
      <c r="AC137" s="156"/>
      <c r="AD137" s="156"/>
      <c r="AE137" s="207"/>
      <c r="AF137" s="207"/>
      <c r="AG137" s="207"/>
      <c r="AH137" s="156">
        <v>0.3</v>
      </c>
      <c r="AI137" s="156"/>
      <c r="AJ137" s="156"/>
      <c r="AK137" s="156"/>
      <c r="AL137" s="156"/>
      <c r="AM137" s="156"/>
      <c r="AN137" s="4"/>
      <c r="AO137" s="4"/>
    </row>
    <row r="138" spans="1:41" s="35" customFormat="1" ht="17.25" customHeight="1">
      <c r="A138" s="179" t="s">
        <v>306</v>
      </c>
      <c r="B138" s="180"/>
      <c r="C138" s="152"/>
      <c r="D138" s="155"/>
      <c r="E138" s="155"/>
      <c r="F138" s="155"/>
      <c r="G138" s="155"/>
      <c r="H138" s="155"/>
      <c r="I138" s="155"/>
      <c r="J138" s="155">
        <v>16.100000000000001</v>
      </c>
      <c r="K138" s="155">
        <v>16.852</v>
      </c>
      <c r="L138" s="155">
        <f t="shared" si="159"/>
        <v>18.149604</v>
      </c>
      <c r="M138" s="155">
        <f t="shared" si="160"/>
        <v>19.129682616</v>
      </c>
      <c r="N138" s="155">
        <f t="shared" si="153"/>
        <v>20.047907381568002</v>
      </c>
      <c r="O138" s="155">
        <f t="shared" si="161"/>
        <v>20.849823676830724</v>
      </c>
      <c r="P138" s="155">
        <v>1.7</v>
      </c>
      <c r="Q138" s="155">
        <v>1.8740000000000001</v>
      </c>
      <c r="R138" s="155">
        <f>Q138*1.077</f>
        <v>2.0182980000000001</v>
      </c>
      <c r="S138" s="155">
        <f>R138*1.054</f>
        <v>2.1272860920000003</v>
      </c>
      <c r="T138" s="155">
        <f t="shared" si="193"/>
        <v>2.2293958244160006</v>
      </c>
      <c r="U138" s="155">
        <f>T138*1.04</f>
        <v>2.3185716573926407</v>
      </c>
      <c r="V138" s="155">
        <v>2</v>
      </c>
      <c r="W138" s="155">
        <v>2</v>
      </c>
      <c r="X138" s="155">
        <v>2</v>
      </c>
      <c r="Y138" s="155">
        <v>2</v>
      </c>
      <c r="Z138" s="155">
        <v>2</v>
      </c>
      <c r="AA138" s="155">
        <v>2</v>
      </c>
      <c r="AB138" s="156">
        <f t="shared" si="168"/>
        <v>8333.3333333333339</v>
      </c>
      <c r="AC138" s="156">
        <f t="shared" si="163"/>
        <v>9000</v>
      </c>
      <c r="AD138" s="156">
        <f t="shared" si="163"/>
        <v>9585</v>
      </c>
      <c r="AE138" s="207">
        <f t="shared" ref="AE138:AE201" si="194">AD138*1.049</f>
        <v>10054.664999999999</v>
      </c>
      <c r="AF138" s="207">
        <f t="shared" ref="AF138:AF201" si="195">AE138*1.045</f>
        <v>10507.124924999998</v>
      </c>
      <c r="AG138" s="207">
        <f t="shared" ref="AG138:AG201" si="196">AF138*1.04</f>
        <v>10927.409921999999</v>
      </c>
      <c r="AH138" s="156">
        <v>0.2</v>
      </c>
      <c r="AI138" s="156">
        <v>0.216</v>
      </c>
      <c r="AJ138" s="156">
        <f t="shared" ref="AJ138:AJ142" si="197">AI138*1.065</f>
        <v>0.23003999999999999</v>
      </c>
      <c r="AK138" s="156">
        <f t="shared" ref="AK138:AK142" si="198">AE138*Y138*12/1000000</f>
        <v>0.24131195999999996</v>
      </c>
      <c r="AL138" s="156">
        <f t="shared" ref="AL138:AL142" si="199">AF138*Z138*12/1000000</f>
        <v>0.2521709982</v>
      </c>
      <c r="AM138" s="156">
        <f t="shared" ref="AM138:AM142" si="200">AG138*AA138*12/1000000</f>
        <v>0.26225783812799996</v>
      </c>
      <c r="AN138" s="4"/>
      <c r="AO138" s="4"/>
    </row>
    <row r="139" spans="1:41" s="35" customFormat="1" ht="17.25" customHeight="1">
      <c r="A139" s="183" t="s">
        <v>307</v>
      </c>
      <c r="B139" s="184"/>
      <c r="C139" s="152"/>
      <c r="D139" s="155"/>
      <c r="E139" s="155"/>
      <c r="F139" s="155"/>
      <c r="G139" s="155"/>
      <c r="H139" s="155"/>
      <c r="I139" s="155"/>
      <c r="J139" s="155">
        <v>2.5</v>
      </c>
      <c r="K139" s="155">
        <v>0.73099999999999998</v>
      </c>
      <c r="L139" s="155">
        <f t="shared" si="159"/>
        <v>0.78728699999999996</v>
      </c>
      <c r="M139" s="155">
        <f t="shared" si="160"/>
        <v>0.829800498</v>
      </c>
      <c r="N139" s="155">
        <f t="shared" si="153"/>
        <v>0.86963092190400004</v>
      </c>
      <c r="O139" s="155">
        <f t="shared" si="161"/>
        <v>0.90441615878016013</v>
      </c>
      <c r="P139" s="155">
        <v>0.27</v>
      </c>
      <c r="Q139" s="155">
        <v>0.106</v>
      </c>
      <c r="R139" s="155">
        <f>Q139*1.077</f>
        <v>0.11416199999999999</v>
      </c>
      <c r="S139" s="155">
        <f>R139*1.054</f>
        <v>0.120326748</v>
      </c>
      <c r="T139" s="155">
        <f t="shared" si="193"/>
        <v>0.126102431904</v>
      </c>
      <c r="U139" s="155">
        <f>T139*1.04</f>
        <v>0.13114652918016001</v>
      </c>
      <c r="V139" s="155">
        <v>1</v>
      </c>
      <c r="W139" s="155">
        <v>1</v>
      </c>
      <c r="X139" s="155">
        <v>0</v>
      </c>
      <c r="Y139" s="155">
        <v>0</v>
      </c>
      <c r="Z139" s="155">
        <v>0</v>
      </c>
      <c r="AA139" s="155">
        <v>0</v>
      </c>
      <c r="AB139" s="156">
        <f t="shared" si="168"/>
        <v>5833.333333333333</v>
      </c>
      <c r="AC139" s="156">
        <f t="shared" si="163"/>
        <v>1500</v>
      </c>
      <c r="AD139" s="156"/>
      <c r="AE139" s="207"/>
      <c r="AF139" s="207"/>
      <c r="AG139" s="207"/>
      <c r="AH139" s="156">
        <v>7.0000000000000007E-2</v>
      </c>
      <c r="AI139" s="156">
        <v>1.7999999999999999E-2</v>
      </c>
      <c r="AJ139" s="156">
        <f t="shared" si="197"/>
        <v>1.9169999999999996E-2</v>
      </c>
      <c r="AK139" s="156">
        <f t="shared" si="198"/>
        <v>0</v>
      </c>
      <c r="AL139" s="156">
        <f t="shared" si="199"/>
        <v>0</v>
      </c>
      <c r="AM139" s="156">
        <f t="shared" si="200"/>
        <v>0</v>
      </c>
      <c r="AN139" s="4"/>
      <c r="AO139" s="4"/>
    </row>
    <row r="140" spans="1:41" s="35" customFormat="1" ht="17.25" customHeight="1">
      <c r="A140" s="183" t="s">
        <v>308</v>
      </c>
      <c r="B140" s="184"/>
      <c r="C140" s="152"/>
      <c r="D140" s="155"/>
      <c r="E140" s="155"/>
      <c r="F140" s="155"/>
      <c r="G140" s="155"/>
      <c r="H140" s="155"/>
      <c r="I140" s="155"/>
      <c r="J140" s="155"/>
      <c r="K140" s="155">
        <v>3.0049999999999999</v>
      </c>
      <c r="L140" s="155">
        <f t="shared" si="159"/>
        <v>3.2363849999999998</v>
      </c>
      <c r="M140" s="155">
        <f t="shared" si="160"/>
        <v>3.4111497900000001</v>
      </c>
      <c r="N140" s="155">
        <f t="shared" si="153"/>
        <v>3.5748849799200002</v>
      </c>
      <c r="O140" s="155">
        <f t="shared" si="161"/>
        <v>3.7178803791168002</v>
      </c>
      <c r="P140" s="155"/>
      <c r="Q140" s="155">
        <v>0.14699999999999999</v>
      </c>
      <c r="R140" s="155">
        <f>Q140*1.077</f>
        <v>0.15831899999999999</v>
      </c>
      <c r="S140" s="155">
        <f>R140*1.054</f>
        <v>0.16686822599999998</v>
      </c>
      <c r="T140" s="155">
        <f t="shared" si="193"/>
        <v>0.17487790084799998</v>
      </c>
      <c r="U140" s="155">
        <f>T140*1.04</f>
        <v>0.18187301688191998</v>
      </c>
      <c r="V140" s="155"/>
      <c r="W140" s="155">
        <v>1</v>
      </c>
      <c r="X140" s="155">
        <v>1</v>
      </c>
      <c r="Y140" s="155">
        <v>1</v>
      </c>
      <c r="Z140" s="155">
        <v>1</v>
      </c>
      <c r="AA140" s="155">
        <v>1</v>
      </c>
      <c r="AB140" s="156"/>
      <c r="AC140" s="156">
        <f t="shared" si="163"/>
        <v>9600</v>
      </c>
      <c r="AD140" s="156">
        <f t="shared" si="163"/>
        <v>10223.999999999998</v>
      </c>
      <c r="AE140" s="207">
        <f t="shared" si="194"/>
        <v>10724.975999999997</v>
      </c>
      <c r="AF140" s="207">
        <f t="shared" si="195"/>
        <v>11207.599919999997</v>
      </c>
      <c r="AG140" s="207">
        <f t="shared" si="196"/>
        <v>11655.903916799996</v>
      </c>
      <c r="AH140" s="156"/>
      <c r="AI140" s="156">
        <v>0.1152</v>
      </c>
      <c r="AJ140" s="156">
        <f t="shared" si="197"/>
        <v>0.12268799999999999</v>
      </c>
      <c r="AK140" s="156">
        <f t="shared" si="198"/>
        <v>0.12869971199999997</v>
      </c>
      <c r="AL140" s="156">
        <f t="shared" si="199"/>
        <v>0.13449119903999998</v>
      </c>
      <c r="AM140" s="156">
        <f t="shared" si="200"/>
        <v>0.13987084700159996</v>
      </c>
      <c r="AN140" s="4"/>
      <c r="AO140" s="4"/>
    </row>
    <row r="141" spans="1:41" s="35" customFormat="1" ht="17.25" customHeight="1">
      <c r="A141" s="183" t="s">
        <v>309</v>
      </c>
      <c r="B141" s="184"/>
      <c r="C141" s="152"/>
      <c r="D141" s="155"/>
      <c r="E141" s="155"/>
      <c r="F141" s="155"/>
      <c r="G141" s="155"/>
      <c r="H141" s="155"/>
      <c r="I141" s="155"/>
      <c r="J141" s="155"/>
      <c r="K141" s="155">
        <v>3.9</v>
      </c>
      <c r="L141" s="155">
        <f t="shared" si="159"/>
        <v>4.2002999999999995</v>
      </c>
      <c r="M141" s="155">
        <f t="shared" si="160"/>
        <v>4.4271161999999995</v>
      </c>
      <c r="N141" s="155">
        <f t="shared" si="153"/>
        <v>4.6396177775999998</v>
      </c>
      <c r="O141" s="155">
        <f t="shared" si="161"/>
        <v>4.8252024887039999</v>
      </c>
      <c r="P141" s="155"/>
      <c r="Q141" s="155">
        <v>0</v>
      </c>
      <c r="R141" s="155"/>
      <c r="S141" s="155"/>
      <c r="T141" s="155"/>
      <c r="U141" s="155"/>
      <c r="V141" s="155"/>
      <c r="W141" s="155">
        <v>2</v>
      </c>
      <c r="X141" s="155">
        <v>2</v>
      </c>
      <c r="Y141" s="155">
        <v>2</v>
      </c>
      <c r="Z141" s="155">
        <v>2</v>
      </c>
      <c r="AA141" s="155">
        <v>2</v>
      </c>
      <c r="AB141" s="156"/>
      <c r="AC141" s="156">
        <f t="shared" si="163"/>
        <v>9833.3333333333339</v>
      </c>
      <c r="AD141" s="156">
        <f t="shared" si="163"/>
        <v>10472.499999999998</v>
      </c>
      <c r="AE141" s="207">
        <f t="shared" si="194"/>
        <v>10985.652499999997</v>
      </c>
      <c r="AF141" s="207">
        <f t="shared" si="195"/>
        <v>11480.006862499995</v>
      </c>
      <c r="AG141" s="207">
        <f t="shared" si="196"/>
        <v>11939.207136999996</v>
      </c>
      <c r="AH141" s="156"/>
      <c r="AI141" s="156">
        <v>0.23599999999999999</v>
      </c>
      <c r="AJ141" s="156">
        <f t="shared" si="197"/>
        <v>0.25133999999999995</v>
      </c>
      <c r="AK141" s="156">
        <f t="shared" si="198"/>
        <v>0.2636556599999999</v>
      </c>
      <c r="AL141" s="156">
        <f t="shared" si="199"/>
        <v>0.27552016469999985</v>
      </c>
      <c r="AM141" s="156">
        <f t="shared" si="200"/>
        <v>0.28654097128799988</v>
      </c>
      <c r="AN141" s="4"/>
      <c r="AO141" s="4"/>
    </row>
    <row r="142" spans="1:41" s="35" customFormat="1" ht="17.25" customHeight="1">
      <c r="A142" s="183" t="s">
        <v>310</v>
      </c>
      <c r="B142" s="184" t="s">
        <v>197</v>
      </c>
      <c r="C142" s="152"/>
      <c r="D142" s="155"/>
      <c r="E142" s="155"/>
      <c r="F142" s="155"/>
      <c r="G142" s="155"/>
      <c r="H142" s="155"/>
      <c r="I142" s="155"/>
      <c r="J142" s="155">
        <v>0</v>
      </c>
      <c r="K142" s="155">
        <v>0</v>
      </c>
      <c r="L142" s="155"/>
      <c r="M142" s="155"/>
      <c r="N142" s="155"/>
      <c r="O142" s="155"/>
      <c r="P142" s="155">
        <v>0</v>
      </c>
      <c r="Q142" s="155">
        <v>0</v>
      </c>
      <c r="R142" s="155"/>
      <c r="S142" s="155"/>
      <c r="T142" s="155"/>
      <c r="U142" s="155"/>
      <c r="V142" s="155">
        <v>0</v>
      </c>
      <c r="W142" s="155">
        <v>0</v>
      </c>
      <c r="X142" s="155">
        <v>0</v>
      </c>
      <c r="Y142" s="155">
        <v>0</v>
      </c>
      <c r="Z142" s="155">
        <v>0</v>
      </c>
      <c r="AA142" s="155">
        <v>0</v>
      </c>
      <c r="AB142" s="156"/>
      <c r="AC142" s="156"/>
      <c r="AD142" s="156"/>
      <c r="AE142" s="207"/>
      <c r="AF142" s="207"/>
      <c r="AG142" s="207"/>
      <c r="AH142" s="156"/>
      <c r="AI142" s="156">
        <v>0.29299999999999998</v>
      </c>
      <c r="AJ142" s="156">
        <f t="shared" si="197"/>
        <v>0.31204499999999996</v>
      </c>
      <c r="AK142" s="156">
        <f t="shared" si="198"/>
        <v>0</v>
      </c>
      <c r="AL142" s="156">
        <f t="shared" si="199"/>
        <v>0</v>
      </c>
      <c r="AM142" s="156">
        <f t="shared" si="200"/>
        <v>0</v>
      </c>
      <c r="AN142" s="4"/>
      <c r="AO142" s="4"/>
    </row>
    <row r="143" spans="1:41" s="35" customFormat="1" ht="17.25" customHeight="1">
      <c r="A143" s="181" t="s">
        <v>311</v>
      </c>
      <c r="B143" s="182"/>
      <c r="C143" s="152"/>
      <c r="D143" s="155"/>
      <c r="E143" s="155"/>
      <c r="F143" s="155"/>
      <c r="G143" s="155"/>
      <c r="H143" s="155"/>
      <c r="I143" s="155"/>
      <c r="J143" s="155">
        <v>2.88</v>
      </c>
      <c r="K143" s="155">
        <v>2.0019999999999998</v>
      </c>
      <c r="L143" s="155">
        <f t="shared" si="159"/>
        <v>2.1561539999999995</v>
      </c>
      <c r="M143" s="155">
        <f t="shared" si="160"/>
        <v>2.2725863159999995</v>
      </c>
      <c r="N143" s="155">
        <f t="shared" si="153"/>
        <v>2.3816704591679994</v>
      </c>
      <c r="O143" s="155">
        <f t="shared" si="161"/>
        <v>2.4769372775347196</v>
      </c>
      <c r="P143" s="155">
        <v>0.05</v>
      </c>
      <c r="Q143" s="155">
        <v>2E-3</v>
      </c>
      <c r="R143" s="155"/>
      <c r="S143" s="155"/>
      <c r="T143" s="155"/>
      <c r="U143" s="155"/>
      <c r="V143" s="155">
        <v>3</v>
      </c>
      <c r="W143" s="155">
        <v>3</v>
      </c>
      <c r="X143" s="155">
        <v>3</v>
      </c>
      <c r="Y143" s="155">
        <v>3</v>
      </c>
      <c r="Z143" s="155">
        <v>3</v>
      </c>
      <c r="AA143" s="155">
        <v>3</v>
      </c>
      <c r="AB143" s="156">
        <f t="shared" si="168"/>
        <v>8333.3333333333339</v>
      </c>
      <c r="AC143" s="156">
        <f t="shared" si="163"/>
        <v>0</v>
      </c>
      <c r="AD143" s="156">
        <f t="shared" si="163"/>
        <v>0</v>
      </c>
      <c r="AE143" s="207"/>
      <c r="AF143" s="207"/>
      <c r="AG143" s="207"/>
      <c r="AH143" s="156">
        <v>0.3</v>
      </c>
      <c r="AI143" s="156"/>
      <c r="AJ143" s="156"/>
      <c r="AK143" s="156"/>
      <c r="AL143" s="156"/>
      <c r="AM143" s="156"/>
      <c r="AN143" s="4"/>
      <c r="AO143" s="4"/>
    </row>
    <row r="144" spans="1:41" s="35" customFormat="1" ht="17.25" customHeight="1">
      <c r="A144" s="183" t="s">
        <v>312</v>
      </c>
      <c r="B144" s="184" t="s">
        <v>229</v>
      </c>
      <c r="C144" s="152"/>
      <c r="D144" s="155"/>
      <c r="E144" s="155"/>
      <c r="F144" s="155"/>
      <c r="G144" s="155"/>
      <c r="H144" s="155"/>
      <c r="I144" s="155"/>
      <c r="J144" s="155">
        <v>0</v>
      </c>
      <c r="K144" s="155">
        <v>0</v>
      </c>
      <c r="L144" s="155"/>
      <c r="M144" s="155"/>
      <c r="N144" s="155"/>
      <c r="O144" s="155"/>
      <c r="P144" s="155">
        <v>0</v>
      </c>
      <c r="Q144" s="155"/>
      <c r="R144" s="155"/>
      <c r="S144" s="155"/>
      <c r="T144" s="155"/>
      <c r="U144" s="155"/>
      <c r="V144" s="155">
        <v>0</v>
      </c>
      <c r="W144" s="155"/>
      <c r="X144" s="155"/>
      <c r="Y144" s="155"/>
      <c r="Z144" s="155"/>
      <c r="AA144" s="155"/>
      <c r="AB144" s="156"/>
      <c r="AC144" s="156"/>
      <c r="AD144" s="156"/>
      <c r="AE144" s="207"/>
      <c r="AF144" s="207"/>
      <c r="AG144" s="207"/>
      <c r="AH144" s="156"/>
      <c r="AI144" s="156"/>
      <c r="AJ144" s="156"/>
      <c r="AK144" s="156"/>
      <c r="AL144" s="156"/>
      <c r="AM144" s="156"/>
      <c r="AN144" s="4"/>
      <c r="AO144" s="4"/>
    </row>
    <row r="145" spans="1:41" s="35" customFormat="1" ht="17.25" customHeight="1">
      <c r="A145" s="185" t="s">
        <v>313</v>
      </c>
      <c r="B145" s="184" t="s">
        <v>266</v>
      </c>
      <c r="C145" s="152"/>
      <c r="D145" s="155"/>
      <c r="E145" s="155"/>
      <c r="F145" s="155"/>
      <c r="G145" s="155"/>
      <c r="H145" s="155"/>
      <c r="I145" s="155"/>
      <c r="J145" s="155"/>
      <c r="K145" s="155">
        <v>0</v>
      </c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6"/>
      <c r="AC145" s="156"/>
      <c r="AD145" s="156"/>
      <c r="AE145" s="207"/>
      <c r="AF145" s="207"/>
      <c r="AG145" s="207"/>
      <c r="AH145" s="156"/>
      <c r="AI145" s="156"/>
      <c r="AJ145" s="156"/>
      <c r="AK145" s="156"/>
      <c r="AL145" s="156"/>
      <c r="AM145" s="156"/>
      <c r="AN145" s="4"/>
      <c r="AO145" s="4"/>
    </row>
    <row r="146" spans="1:41" s="35" customFormat="1" ht="17.25" customHeight="1">
      <c r="A146" s="185" t="s">
        <v>314</v>
      </c>
      <c r="B146" s="184" t="s">
        <v>266</v>
      </c>
      <c r="C146" s="152"/>
      <c r="D146" s="155"/>
      <c r="E146" s="155"/>
      <c r="F146" s="155"/>
      <c r="G146" s="155"/>
      <c r="H146" s="155"/>
      <c r="I146" s="155"/>
      <c r="J146" s="155"/>
      <c r="K146" s="155">
        <v>0</v>
      </c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6"/>
      <c r="AC146" s="156"/>
      <c r="AD146" s="156"/>
      <c r="AE146" s="207"/>
      <c r="AF146" s="207"/>
      <c r="AG146" s="207"/>
      <c r="AH146" s="156"/>
      <c r="AI146" s="156"/>
      <c r="AJ146" s="156"/>
      <c r="AK146" s="156"/>
      <c r="AL146" s="156"/>
      <c r="AM146" s="156"/>
      <c r="AN146" s="4"/>
      <c r="AO146" s="4"/>
    </row>
    <row r="147" spans="1:41" s="35" customFormat="1" ht="17.25" customHeight="1">
      <c r="A147" s="185" t="s">
        <v>315</v>
      </c>
      <c r="B147" s="184"/>
      <c r="C147" s="152"/>
      <c r="D147" s="155"/>
      <c r="E147" s="155"/>
      <c r="F147" s="155"/>
      <c r="G147" s="155"/>
      <c r="H147" s="155"/>
      <c r="I147" s="155"/>
      <c r="J147" s="155">
        <v>54.6</v>
      </c>
      <c r="K147" s="155">
        <v>32.983600000000003</v>
      </c>
      <c r="L147" s="155">
        <f t="shared" si="159"/>
        <v>35.5233372</v>
      </c>
      <c r="M147" s="155">
        <f t="shared" si="160"/>
        <v>37.4415974088</v>
      </c>
      <c r="N147" s="155">
        <f t="shared" si="153"/>
        <v>39.238794084422402</v>
      </c>
      <c r="O147" s="155">
        <f t="shared" si="161"/>
        <v>40.808345847799302</v>
      </c>
      <c r="P147" s="155">
        <v>0.3</v>
      </c>
      <c r="Q147" s="155">
        <v>2.3195999999999999</v>
      </c>
      <c r="R147" s="155">
        <f>Q147*1.077</f>
        <v>2.4982091999999998</v>
      </c>
      <c r="S147" s="155">
        <f>R147*1.054</f>
        <v>2.6331124967999999</v>
      </c>
      <c r="T147" s="155">
        <f t="shared" ref="T147:T149" si="201">S147*1.048</f>
        <v>2.7595018966464</v>
      </c>
      <c r="U147" s="155">
        <f>T147*1.04</f>
        <v>2.869881972512256</v>
      </c>
      <c r="V147" s="155">
        <v>5</v>
      </c>
      <c r="W147" s="155">
        <v>2</v>
      </c>
      <c r="X147" s="155">
        <v>2</v>
      </c>
      <c r="Y147" s="155">
        <v>2</v>
      </c>
      <c r="Z147" s="155">
        <v>2</v>
      </c>
      <c r="AA147" s="155">
        <v>2</v>
      </c>
      <c r="AB147" s="156">
        <f t="shared" si="168"/>
        <v>5500</v>
      </c>
      <c r="AC147" s="156">
        <f t="shared" si="163"/>
        <v>8820.8333333333339</v>
      </c>
      <c r="AD147" s="156">
        <f t="shared" si="163"/>
        <v>9394.1874999999982</v>
      </c>
      <c r="AE147" s="207">
        <f t="shared" si="194"/>
        <v>9854.5026874999967</v>
      </c>
      <c r="AF147" s="207">
        <f t="shared" si="195"/>
        <v>10297.955308437497</v>
      </c>
      <c r="AG147" s="207">
        <f t="shared" si="196"/>
        <v>10709.873520774996</v>
      </c>
      <c r="AH147" s="156">
        <v>0.33</v>
      </c>
      <c r="AI147" s="156">
        <v>0.2117</v>
      </c>
      <c r="AJ147" s="156">
        <f t="shared" ref="AJ147:AJ149" si="202">AI147*1.065</f>
        <v>0.22546049999999998</v>
      </c>
      <c r="AK147" s="156">
        <f t="shared" ref="AK147:AK149" si="203">AE147*Y147*12/1000000</f>
        <v>0.23650806449999992</v>
      </c>
      <c r="AL147" s="156">
        <f t="shared" ref="AL147:AL149" si="204">AF147*Z147*12/1000000</f>
        <v>0.24715092740249991</v>
      </c>
      <c r="AM147" s="156">
        <f t="shared" ref="AM147:AM149" si="205">AG147*AA147*12/1000000</f>
        <v>0.25703696449859992</v>
      </c>
      <c r="AN147" s="4"/>
      <c r="AO147" s="4"/>
    </row>
    <row r="148" spans="1:41" s="35" customFormat="1" ht="17.25" customHeight="1">
      <c r="A148" s="185" t="s">
        <v>316</v>
      </c>
      <c r="B148" s="184"/>
      <c r="C148" s="152"/>
      <c r="D148" s="155"/>
      <c r="E148" s="155"/>
      <c r="F148" s="155"/>
      <c r="G148" s="155"/>
      <c r="H148" s="155"/>
      <c r="I148" s="155"/>
      <c r="J148" s="155"/>
      <c r="K148" s="155">
        <v>48.947000000000003</v>
      </c>
      <c r="L148" s="155">
        <f t="shared" si="159"/>
        <v>52.715919</v>
      </c>
      <c r="M148" s="155">
        <f t="shared" si="160"/>
        <v>55.562578626000004</v>
      </c>
      <c r="N148" s="155">
        <f t="shared" si="153"/>
        <v>58.22958240004801</v>
      </c>
      <c r="O148" s="155">
        <f t="shared" si="161"/>
        <v>60.558765696049932</v>
      </c>
      <c r="P148" s="155"/>
      <c r="Q148" s="155">
        <v>3.9870000000000001</v>
      </c>
      <c r="R148" s="155">
        <f>Q148*1.077</f>
        <v>4.2939990000000003</v>
      </c>
      <c r="S148" s="155">
        <f>R148*1.054</f>
        <v>4.525874946000001</v>
      </c>
      <c r="T148" s="155">
        <f t="shared" si="201"/>
        <v>4.7431169434080012</v>
      </c>
      <c r="U148" s="155">
        <f>T148*1.04</f>
        <v>4.9328416211443216</v>
      </c>
      <c r="V148" s="155"/>
      <c r="W148" s="155">
        <v>3</v>
      </c>
      <c r="X148" s="155">
        <v>3</v>
      </c>
      <c r="Y148" s="155">
        <v>3</v>
      </c>
      <c r="Z148" s="155">
        <v>3</v>
      </c>
      <c r="AA148" s="155">
        <v>3</v>
      </c>
      <c r="AB148" s="156"/>
      <c r="AC148" s="156">
        <f t="shared" si="163"/>
        <v>8777.7777777777774</v>
      </c>
      <c r="AD148" s="156">
        <f t="shared" si="163"/>
        <v>9348.3333333333339</v>
      </c>
      <c r="AE148" s="207">
        <f t="shared" si="194"/>
        <v>9806.4016666666666</v>
      </c>
      <c r="AF148" s="207">
        <f t="shared" si="195"/>
        <v>10247.689741666665</v>
      </c>
      <c r="AG148" s="207">
        <f t="shared" si="196"/>
        <v>10657.597331333332</v>
      </c>
      <c r="AH148" s="156"/>
      <c r="AI148" s="156">
        <v>0.316</v>
      </c>
      <c r="AJ148" s="156">
        <f t="shared" si="202"/>
        <v>0.33654000000000001</v>
      </c>
      <c r="AK148" s="156">
        <f t="shared" si="203"/>
        <v>0.35303046000000005</v>
      </c>
      <c r="AL148" s="156">
        <f t="shared" si="204"/>
        <v>0.36891683069999992</v>
      </c>
      <c r="AM148" s="156">
        <f t="shared" si="205"/>
        <v>0.38367350392799998</v>
      </c>
      <c r="AN148" s="4"/>
      <c r="AO148" s="4"/>
    </row>
    <row r="149" spans="1:41" s="35" customFormat="1" ht="17.25" customHeight="1">
      <c r="A149" s="186" t="s">
        <v>317</v>
      </c>
      <c r="B149" s="182" t="s">
        <v>197</v>
      </c>
      <c r="C149" s="152"/>
      <c r="D149" s="155"/>
      <c r="E149" s="155"/>
      <c r="F149" s="155"/>
      <c r="G149" s="155"/>
      <c r="H149" s="155"/>
      <c r="I149" s="155"/>
      <c r="J149" s="155">
        <v>4.0999999999999996</v>
      </c>
      <c r="K149" s="155">
        <v>0.93700000000000006</v>
      </c>
      <c r="L149" s="155">
        <f t="shared" si="159"/>
        <v>1.0091490000000001</v>
      </c>
      <c r="M149" s="155">
        <f t="shared" si="160"/>
        <v>1.0636430460000001</v>
      </c>
      <c r="N149" s="155">
        <f t="shared" si="153"/>
        <v>1.1146979122080003</v>
      </c>
      <c r="O149" s="155">
        <f t="shared" si="161"/>
        <v>1.1592858286963204</v>
      </c>
      <c r="P149" s="155">
        <v>0.38</v>
      </c>
      <c r="Q149" s="155">
        <v>9.0999999999999998E-2</v>
      </c>
      <c r="R149" s="155">
        <f>Q149*1.077</f>
        <v>9.8006999999999997E-2</v>
      </c>
      <c r="S149" s="155">
        <f>R149*1.054</f>
        <v>0.103299378</v>
      </c>
      <c r="T149" s="155">
        <f t="shared" si="201"/>
        <v>0.10825774814400001</v>
      </c>
      <c r="U149" s="155">
        <f>T149*1.04</f>
        <v>0.11258805806976001</v>
      </c>
      <c r="V149" s="155">
        <v>1</v>
      </c>
      <c r="W149" s="155">
        <v>1</v>
      </c>
      <c r="X149" s="155">
        <v>1</v>
      </c>
      <c r="Y149" s="155">
        <v>1</v>
      </c>
      <c r="Z149" s="155">
        <v>1</v>
      </c>
      <c r="AA149" s="155">
        <v>1</v>
      </c>
      <c r="AB149" s="156">
        <f t="shared" si="168"/>
        <v>12500</v>
      </c>
      <c r="AC149" s="156">
        <f t="shared" si="163"/>
        <v>3250</v>
      </c>
      <c r="AD149" s="156">
        <f t="shared" si="163"/>
        <v>3461.2499999999995</v>
      </c>
      <c r="AE149" s="207">
        <f t="shared" si="194"/>
        <v>3630.8512499999993</v>
      </c>
      <c r="AF149" s="207">
        <f t="shared" si="195"/>
        <v>3794.2395562499992</v>
      </c>
      <c r="AG149" s="207">
        <f t="shared" si="196"/>
        <v>3946.0091384999992</v>
      </c>
      <c r="AH149" s="156">
        <v>0.15</v>
      </c>
      <c r="AI149" s="156">
        <v>3.9E-2</v>
      </c>
      <c r="AJ149" s="156">
        <f t="shared" si="202"/>
        <v>4.1534999999999996E-2</v>
      </c>
      <c r="AK149" s="156">
        <f t="shared" si="203"/>
        <v>4.3570214999999989E-2</v>
      </c>
      <c r="AL149" s="156">
        <f t="shared" si="204"/>
        <v>4.5530874674999992E-2</v>
      </c>
      <c r="AM149" s="156">
        <f t="shared" si="205"/>
        <v>4.7352109661999986E-2</v>
      </c>
      <c r="AN149" s="4"/>
      <c r="AO149" s="4"/>
    </row>
    <row r="150" spans="1:41" s="35" customFormat="1" ht="17.25" customHeight="1">
      <c r="A150" s="186" t="s">
        <v>318</v>
      </c>
      <c r="B150" s="182" t="s">
        <v>229</v>
      </c>
      <c r="C150" s="152"/>
      <c r="D150" s="155"/>
      <c r="E150" s="155"/>
      <c r="F150" s="155"/>
      <c r="G150" s="155"/>
      <c r="H150" s="155"/>
      <c r="I150" s="155"/>
      <c r="J150" s="155"/>
      <c r="K150" s="155">
        <v>0</v>
      </c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6"/>
      <c r="AC150" s="156"/>
      <c r="AD150" s="156"/>
      <c r="AE150" s="207">
        <f t="shared" si="194"/>
        <v>0</v>
      </c>
      <c r="AF150" s="207">
        <f t="shared" si="195"/>
        <v>0</v>
      </c>
      <c r="AG150" s="207">
        <f t="shared" si="196"/>
        <v>0</v>
      </c>
      <c r="AH150" s="156"/>
      <c r="AI150" s="156"/>
      <c r="AJ150" s="156"/>
      <c r="AK150" s="156"/>
      <c r="AL150" s="156"/>
      <c r="AM150" s="156"/>
      <c r="AN150" s="4"/>
      <c r="AO150" s="4"/>
    </row>
    <row r="151" spans="1:41" s="35" customFormat="1" ht="17.25" customHeight="1">
      <c r="A151" s="179" t="s">
        <v>319</v>
      </c>
      <c r="B151" s="180"/>
      <c r="C151" s="152"/>
      <c r="D151" s="155"/>
      <c r="E151" s="155"/>
      <c r="F151" s="155"/>
      <c r="G151" s="155"/>
      <c r="H151" s="155"/>
      <c r="I151" s="155"/>
      <c r="J151" s="155">
        <v>0.8</v>
      </c>
      <c r="K151" s="155">
        <v>0</v>
      </c>
      <c r="L151" s="155"/>
      <c r="M151" s="155"/>
      <c r="N151" s="155"/>
      <c r="O151" s="155"/>
      <c r="P151" s="155">
        <v>0.01</v>
      </c>
      <c r="Q151" s="155"/>
      <c r="R151" s="155"/>
      <c r="S151" s="155"/>
      <c r="T151" s="155"/>
      <c r="U151" s="155"/>
      <c r="V151" s="155">
        <v>3</v>
      </c>
      <c r="W151" s="155"/>
      <c r="X151" s="155"/>
      <c r="Y151" s="155"/>
      <c r="Z151" s="155"/>
      <c r="AA151" s="155"/>
      <c r="AB151" s="156">
        <f t="shared" si="168"/>
        <v>5000</v>
      </c>
      <c r="AC151" s="156"/>
      <c r="AD151" s="156"/>
      <c r="AE151" s="207">
        <f t="shared" si="194"/>
        <v>0</v>
      </c>
      <c r="AF151" s="207">
        <f t="shared" si="195"/>
        <v>0</v>
      </c>
      <c r="AG151" s="207">
        <f t="shared" si="196"/>
        <v>0</v>
      </c>
      <c r="AH151" s="156">
        <v>0.18</v>
      </c>
      <c r="AI151" s="156"/>
      <c r="AJ151" s="156"/>
      <c r="AK151" s="156"/>
      <c r="AL151" s="156"/>
      <c r="AM151" s="156"/>
      <c r="AN151" s="4"/>
      <c r="AO151" s="4"/>
    </row>
    <row r="152" spans="1:41" s="35" customFormat="1" ht="17.25" customHeight="1">
      <c r="A152" s="187" t="s">
        <v>320</v>
      </c>
      <c r="B152" s="182"/>
      <c r="C152" s="152"/>
      <c r="D152" s="155"/>
      <c r="E152" s="155"/>
      <c r="F152" s="155"/>
      <c r="G152" s="155"/>
      <c r="H152" s="155"/>
      <c r="I152" s="155"/>
      <c r="J152" s="155">
        <v>16</v>
      </c>
      <c r="K152" s="155">
        <v>14.314</v>
      </c>
      <c r="L152" s="155">
        <f t="shared" si="159"/>
        <v>15.416177999999999</v>
      </c>
      <c r="M152" s="155">
        <f t="shared" si="160"/>
        <v>16.248651612</v>
      </c>
      <c r="N152" s="155">
        <f t="shared" si="153"/>
        <v>17.028586889376001</v>
      </c>
      <c r="O152" s="155">
        <f t="shared" si="161"/>
        <v>17.709730364951042</v>
      </c>
      <c r="P152" s="155">
        <v>0.17</v>
      </c>
      <c r="Q152" s="155">
        <v>1.1000000000000001</v>
      </c>
      <c r="R152" s="155">
        <f>Q152*1.077</f>
        <v>1.1847000000000001</v>
      </c>
      <c r="S152" s="155">
        <f>R152*1.054</f>
        <v>1.2486738000000002</v>
      </c>
      <c r="T152" s="155">
        <f t="shared" ref="T152:T153" si="206">S152*1.048</f>
        <v>1.3086101424000003</v>
      </c>
      <c r="U152" s="155">
        <f>T152*1.04</f>
        <v>1.3609545480960004</v>
      </c>
      <c r="V152" s="155">
        <v>18</v>
      </c>
      <c r="W152" s="155">
        <v>20</v>
      </c>
      <c r="X152" s="155">
        <v>10</v>
      </c>
      <c r="Y152" s="155">
        <v>10</v>
      </c>
      <c r="Z152" s="155">
        <v>10</v>
      </c>
      <c r="AA152" s="155">
        <v>10</v>
      </c>
      <c r="AB152" s="156">
        <f t="shared" si="168"/>
        <v>5925.9259259259261</v>
      </c>
      <c r="AC152" s="156">
        <f t="shared" si="163"/>
        <v>7115.416666666667</v>
      </c>
      <c r="AD152" s="156">
        <f t="shared" si="163"/>
        <v>15155.8375</v>
      </c>
      <c r="AE152" s="207">
        <f t="shared" si="194"/>
        <v>15898.473537499998</v>
      </c>
      <c r="AF152" s="207">
        <f t="shared" si="195"/>
        <v>16613.904846687496</v>
      </c>
      <c r="AG152" s="207">
        <f t="shared" si="196"/>
        <v>17278.461040554997</v>
      </c>
      <c r="AH152" s="156">
        <v>1.28</v>
      </c>
      <c r="AI152" s="156">
        <v>1.7077</v>
      </c>
      <c r="AJ152" s="156">
        <f t="shared" ref="AJ152:AJ154" si="207">AI152*1.065</f>
        <v>1.8187004999999998</v>
      </c>
      <c r="AK152" s="156">
        <f t="shared" ref="AK152:AK154" si="208">AE152*Y152*12/1000000</f>
        <v>1.9078168244999998</v>
      </c>
      <c r="AL152" s="156">
        <f t="shared" ref="AL152:AL154" si="209">AF152*Z152*12/1000000</f>
        <v>1.9936685816024993</v>
      </c>
      <c r="AM152" s="156">
        <f t="shared" ref="AM152:AM154" si="210">AG152*AA152*12/1000000</f>
        <v>2.0734153248666001</v>
      </c>
      <c r="AN152" s="4"/>
      <c r="AO152" s="4"/>
    </row>
    <row r="153" spans="1:41" s="35" customFormat="1" ht="17.25" customHeight="1">
      <c r="A153" s="181" t="s">
        <v>321</v>
      </c>
      <c r="B153" s="182"/>
      <c r="C153" s="152"/>
      <c r="D153" s="155"/>
      <c r="E153" s="155"/>
      <c r="F153" s="155"/>
      <c r="G153" s="155"/>
      <c r="H153" s="155"/>
      <c r="I153" s="155"/>
      <c r="J153" s="155">
        <v>14.2</v>
      </c>
      <c r="K153" s="155">
        <v>9.4580000000000002</v>
      </c>
      <c r="L153" s="155">
        <f t="shared" si="159"/>
        <v>10.186266</v>
      </c>
      <c r="M153" s="155">
        <f t="shared" si="160"/>
        <v>10.736324364</v>
      </c>
      <c r="N153" s="155">
        <f t="shared" si="153"/>
        <v>11.251667933472</v>
      </c>
      <c r="O153" s="155">
        <f t="shared" si="161"/>
        <v>11.701734650810881</v>
      </c>
      <c r="P153" s="155">
        <v>3.5</v>
      </c>
      <c r="Q153" s="155">
        <v>1.548</v>
      </c>
      <c r="R153" s="155">
        <f>Q153*1.077</f>
        <v>1.6671959999999999</v>
      </c>
      <c r="S153" s="155">
        <f>R153*1.054</f>
        <v>1.757224584</v>
      </c>
      <c r="T153" s="155">
        <f t="shared" si="206"/>
        <v>1.8415713640320002</v>
      </c>
      <c r="U153" s="155">
        <f>T153*1.04</f>
        <v>1.9152342185932802</v>
      </c>
      <c r="V153" s="155">
        <v>5</v>
      </c>
      <c r="W153" s="155">
        <v>5</v>
      </c>
      <c r="X153" s="155">
        <v>5</v>
      </c>
      <c r="Y153" s="155">
        <v>5</v>
      </c>
      <c r="Z153" s="155">
        <v>5</v>
      </c>
      <c r="AA153" s="155">
        <v>5</v>
      </c>
      <c r="AB153" s="156">
        <f t="shared" si="168"/>
        <v>8000</v>
      </c>
      <c r="AC153" s="156">
        <f t="shared" si="163"/>
        <v>7608.333333333333</v>
      </c>
      <c r="AD153" s="156">
        <f t="shared" si="163"/>
        <v>8102.875</v>
      </c>
      <c r="AE153" s="207">
        <f t="shared" si="194"/>
        <v>8499.9158749999988</v>
      </c>
      <c r="AF153" s="207">
        <f t="shared" si="195"/>
        <v>8882.4120893749987</v>
      </c>
      <c r="AG153" s="207">
        <f t="shared" si="196"/>
        <v>9237.7085729499995</v>
      </c>
      <c r="AH153" s="156">
        <v>0.48</v>
      </c>
      <c r="AI153" s="208">
        <v>0.45650000000000002</v>
      </c>
      <c r="AJ153" s="156">
        <f t="shared" si="207"/>
        <v>0.48617250000000001</v>
      </c>
      <c r="AK153" s="156">
        <f t="shared" si="208"/>
        <v>0.50999495249999993</v>
      </c>
      <c r="AL153" s="156">
        <f t="shared" si="209"/>
        <v>0.53294472536249993</v>
      </c>
      <c r="AM153" s="156">
        <f t="shared" si="210"/>
        <v>0.55426251437699992</v>
      </c>
      <c r="AN153" s="4"/>
      <c r="AO153" s="4"/>
    </row>
    <row r="154" spans="1:41" s="35" customFormat="1" ht="17.25" customHeight="1">
      <c r="A154" s="181" t="s">
        <v>322</v>
      </c>
      <c r="B154" s="182"/>
      <c r="C154" s="152"/>
      <c r="D154" s="155"/>
      <c r="E154" s="155"/>
      <c r="F154" s="155"/>
      <c r="G154" s="155"/>
      <c r="H154" s="155"/>
      <c r="I154" s="155"/>
      <c r="J154" s="155"/>
      <c r="K154" s="155">
        <v>1.0999999999999999E-2</v>
      </c>
      <c r="L154" s="155">
        <f t="shared" si="159"/>
        <v>1.1846999999999998E-2</v>
      </c>
      <c r="M154" s="155">
        <f t="shared" si="160"/>
        <v>1.2486737999999999E-2</v>
      </c>
      <c r="N154" s="155">
        <f t="shared" si="153"/>
        <v>1.3086101423999999E-2</v>
      </c>
      <c r="O154" s="155">
        <f t="shared" si="161"/>
        <v>1.360954548096E-2</v>
      </c>
      <c r="P154" s="155"/>
      <c r="Q154" s="155">
        <v>0</v>
      </c>
      <c r="R154" s="155"/>
      <c r="S154" s="155"/>
      <c r="T154" s="155"/>
      <c r="U154" s="155"/>
      <c r="V154" s="155"/>
      <c r="W154" s="155">
        <v>1</v>
      </c>
      <c r="X154" s="155">
        <v>1</v>
      </c>
      <c r="Y154" s="155">
        <v>1</v>
      </c>
      <c r="Z154" s="155">
        <v>1</v>
      </c>
      <c r="AA154" s="155">
        <v>1</v>
      </c>
      <c r="AB154" s="156"/>
      <c r="AC154" s="156">
        <f t="shared" si="163"/>
        <v>916.66666666666663</v>
      </c>
      <c r="AD154" s="156">
        <f t="shared" si="163"/>
        <v>976.24999999999989</v>
      </c>
      <c r="AE154" s="207">
        <f t="shared" si="194"/>
        <v>1024.0862499999998</v>
      </c>
      <c r="AF154" s="207">
        <f t="shared" si="195"/>
        <v>1070.1701312499997</v>
      </c>
      <c r="AG154" s="207">
        <f t="shared" si="196"/>
        <v>1112.9769364999997</v>
      </c>
      <c r="AH154" s="156"/>
      <c r="AI154" s="156">
        <v>1.0999999999999999E-2</v>
      </c>
      <c r="AJ154" s="156">
        <f t="shared" si="207"/>
        <v>1.1714999999999998E-2</v>
      </c>
      <c r="AK154" s="156">
        <f t="shared" si="208"/>
        <v>1.2289034999999999E-2</v>
      </c>
      <c r="AL154" s="156">
        <f t="shared" si="209"/>
        <v>1.2842041574999996E-2</v>
      </c>
      <c r="AM154" s="156">
        <f t="shared" si="210"/>
        <v>1.3355723237999996E-2</v>
      </c>
      <c r="AN154" s="4"/>
      <c r="AO154" s="4"/>
    </row>
    <row r="155" spans="1:41" s="35" customFormat="1" ht="17.25" customHeight="1">
      <c r="A155" s="183" t="s">
        <v>323</v>
      </c>
      <c r="B155" s="184" t="s">
        <v>266</v>
      </c>
      <c r="C155" s="152"/>
      <c r="D155" s="155"/>
      <c r="E155" s="155"/>
      <c r="F155" s="155"/>
      <c r="G155" s="155"/>
      <c r="H155" s="155"/>
      <c r="I155" s="155"/>
      <c r="J155" s="155"/>
      <c r="K155" s="155">
        <v>0</v>
      </c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6"/>
      <c r="AC155" s="156"/>
      <c r="AD155" s="156"/>
      <c r="AE155" s="207"/>
      <c r="AF155" s="207"/>
      <c r="AG155" s="207"/>
      <c r="AH155" s="156"/>
      <c r="AI155" s="156"/>
      <c r="AJ155" s="156"/>
      <c r="AK155" s="156"/>
      <c r="AL155" s="156"/>
      <c r="AM155" s="156"/>
      <c r="AN155" s="4"/>
      <c r="AO155" s="4"/>
    </row>
    <row r="156" spans="1:41" s="35" customFormat="1" ht="17.25" customHeight="1">
      <c r="A156" s="183" t="s">
        <v>324</v>
      </c>
      <c r="B156" s="184" t="s">
        <v>266</v>
      </c>
      <c r="C156" s="152"/>
      <c r="D156" s="155"/>
      <c r="E156" s="155"/>
      <c r="F156" s="155"/>
      <c r="G156" s="155"/>
      <c r="H156" s="155"/>
      <c r="I156" s="155"/>
      <c r="J156" s="155"/>
      <c r="K156" s="155">
        <v>0</v>
      </c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6"/>
      <c r="AC156" s="156"/>
      <c r="AD156" s="156"/>
      <c r="AE156" s="207"/>
      <c r="AF156" s="207"/>
      <c r="AG156" s="207"/>
      <c r="AH156" s="156"/>
      <c r="AI156" s="156"/>
      <c r="AJ156" s="156"/>
      <c r="AK156" s="156"/>
      <c r="AL156" s="156"/>
      <c r="AM156" s="156"/>
      <c r="AN156" s="4"/>
      <c r="AO156" s="4"/>
    </row>
    <row r="157" spans="1:41" s="35" customFormat="1" ht="17.25" customHeight="1">
      <c r="A157" s="181" t="s">
        <v>325</v>
      </c>
      <c r="B157" s="182"/>
      <c r="C157" s="152"/>
      <c r="D157" s="155"/>
      <c r="E157" s="155"/>
      <c r="F157" s="155"/>
      <c r="G157" s="155"/>
      <c r="H157" s="155"/>
      <c r="I157" s="155"/>
      <c r="J157" s="155">
        <v>6.5</v>
      </c>
      <c r="K157" s="155">
        <v>12.896000000000001</v>
      </c>
      <c r="L157" s="155">
        <f t="shared" si="159"/>
        <v>13.888992</v>
      </c>
      <c r="M157" s="155">
        <f t="shared" si="160"/>
        <v>14.638997568000001</v>
      </c>
      <c r="N157" s="155">
        <f t="shared" si="153"/>
        <v>15.341669451264002</v>
      </c>
      <c r="O157" s="155">
        <f t="shared" si="161"/>
        <v>15.955336229314563</v>
      </c>
      <c r="P157" s="155">
        <v>0.14000000000000001</v>
      </c>
      <c r="Q157" s="155">
        <v>6.6000000000000003E-2</v>
      </c>
      <c r="R157" s="155">
        <f t="shared" ref="R157:R169" si="211">Q157*1.077</f>
        <v>7.1082000000000006E-2</v>
      </c>
      <c r="S157" s="155">
        <f t="shared" ref="S157:S169" si="212">R157*1.054</f>
        <v>7.4920428000000011E-2</v>
      </c>
      <c r="T157" s="155">
        <f t="shared" ref="T157:T169" si="213">S157*1.048</f>
        <v>7.8516608544000013E-2</v>
      </c>
      <c r="U157" s="155">
        <f t="shared" ref="U157:U169" si="214">T157*1.04</f>
        <v>8.165727288576001E-2</v>
      </c>
      <c r="V157" s="155">
        <v>3</v>
      </c>
      <c r="W157" s="155">
        <v>4</v>
      </c>
      <c r="X157" s="155">
        <v>4</v>
      </c>
      <c r="Y157" s="155">
        <v>4</v>
      </c>
      <c r="Z157" s="155">
        <v>4</v>
      </c>
      <c r="AA157" s="155">
        <v>4</v>
      </c>
      <c r="AB157" s="156">
        <f t="shared" si="168"/>
        <v>7777.7777777777774</v>
      </c>
      <c r="AC157" s="156">
        <f t="shared" si="163"/>
        <v>9600</v>
      </c>
      <c r="AD157" s="156">
        <f t="shared" si="163"/>
        <v>10223.999999999998</v>
      </c>
      <c r="AE157" s="207">
        <f t="shared" si="194"/>
        <v>10724.975999999997</v>
      </c>
      <c r="AF157" s="207">
        <f t="shared" si="195"/>
        <v>11207.599919999997</v>
      </c>
      <c r="AG157" s="207">
        <f t="shared" si="196"/>
        <v>11655.903916799996</v>
      </c>
      <c r="AH157" s="156">
        <v>0.28000000000000003</v>
      </c>
      <c r="AI157" s="156">
        <v>0.46079999999999999</v>
      </c>
      <c r="AJ157" s="156">
        <f t="shared" ref="AJ157:AJ169" si="215">AI157*1.065</f>
        <v>0.49075199999999997</v>
      </c>
      <c r="AK157" s="156">
        <f t="shared" ref="AK157:AK165" si="216">AE157*Y157*12/1000000</f>
        <v>0.51479884799999986</v>
      </c>
      <c r="AL157" s="156">
        <f t="shared" ref="AL157:AL165" si="217">AF157*Z157*12/1000000</f>
        <v>0.53796479615999993</v>
      </c>
      <c r="AM157" s="156">
        <f t="shared" ref="AM157:AM165" si="218">AG157*AA157*12/1000000</f>
        <v>0.55948338800639985</v>
      </c>
      <c r="AN157" s="4"/>
      <c r="AO157" s="4"/>
    </row>
    <row r="158" spans="1:41" s="35" customFormat="1" ht="17.25" customHeight="1">
      <c r="A158" s="181" t="s">
        <v>326</v>
      </c>
      <c r="B158" s="182"/>
      <c r="C158" s="152"/>
      <c r="D158" s="155"/>
      <c r="E158" s="155"/>
      <c r="F158" s="155"/>
      <c r="G158" s="155"/>
      <c r="H158" s="155"/>
      <c r="I158" s="155"/>
      <c r="J158" s="155">
        <v>9.8000000000000007</v>
      </c>
      <c r="K158" s="155">
        <v>8.5500000000000007</v>
      </c>
      <c r="L158" s="155">
        <f t="shared" si="159"/>
        <v>9.2083500000000011</v>
      </c>
      <c r="M158" s="155">
        <f t="shared" si="160"/>
        <v>9.7056009000000021</v>
      </c>
      <c r="N158" s="155">
        <f t="shared" si="153"/>
        <v>10.171469743200003</v>
      </c>
      <c r="O158" s="155">
        <f t="shared" si="161"/>
        <v>10.578328532928003</v>
      </c>
      <c r="P158" s="155">
        <v>3.4</v>
      </c>
      <c r="Q158" s="155">
        <v>2.23</v>
      </c>
      <c r="R158" s="155">
        <f t="shared" si="211"/>
        <v>2.40171</v>
      </c>
      <c r="S158" s="155">
        <f t="shared" si="212"/>
        <v>2.5314023400000001</v>
      </c>
      <c r="T158" s="155">
        <f t="shared" si="213"/>
        <v>2.65290965232</v>
      </c>
      <c r="U158" s="155">
        <f t="shared" si="214"/>
        <v>2.7590260384128</v>
      </c>
      <c r="V158" s="155">
        <v>1</v>
      </c>
      <c r="W158" s="155">
        <v>1</v>
      </c>
      <c r="X158" s="155">
        <v>1</v>
      </c>
      <c r="Y158" s="155">
        <v>1</v>
      </c>
      <c r="Z158" s="155">
        <v>1</v>
      </c>
      <c r="AA158" s="155">
        <v>1</v>
      </c>
      <c r="AB158" s="156">
        <f t="shared" si="168"/>
        <v>5833.333333333333</v>
      </c>
      <c r="AC158" s="156">
        <f t="shared" si="163"/>
        <v>7500</v>
      </c>
      <c r="AD158" s="156">
        <f t="shared" si="163"/>
        <v>7987.4999999999991</v>
      </c>
      <c r="AE158" s="207">
        <f t="shared" si="194"/>
        <v>8378.8874999999989</v>
      </c>
      <c r="AF158" s="207">
        <f t="shared" si="195"/>
        <v>8755.9374374999989</v>
      </c>
      <c r="AG158" s="207">
        <f t="shared" si="196"/>
        <v>9106.1749349999991</v>
      </c>
      <c r="AH158" s="156">
        <v>7.0000000000000007E-2</v>
      </c>
      <c r="AI158" s="156">
        <v>0.09</v>
      </c>
      <c r="AJ158" s="156">
        <f t="shared" si="215"/>
        <v>9.5849999999999991E-2</v>
      </c>
      <c r="AK158" s="156">
        <f t="shared" si="216"/>
        <v>0.10054664999999999</v>
      </c>
      <c r="AL158" s="156">
        <f t="shared" si="217"/>
        <v>0.10507124925</v>
      </c>
      <c r="AM158" s="156">
        <f t="shared" si="218"/>
        <v>0.10927409921999999</v>
      </c>
      <c r="AN158" s="4"/>
      <c r="AO158" s="4"/>
    </row>
    <row r="159" spans="1:41" s="35" customFormat="1" ht="17.25" customHeight="1">
      <c r="A159" s="181" t="s">
        <v>327</v>
      </c>
      <c r="B159" s="182"/>
      <c r="C159" s="152"/>
      <c r="D159" s="155"/>
      <c r="E159" s="155"/>
      <c r="F159" s="155"/>
      <c r="G159" s="155"/>
      <c r="H159" s="155"/>
      <c r="I159" s="155"/>
      <c r="J159" s="155">
        <v>64</v>
      </c>
      <c r="K159" s="155">
        <v>67.216999999999999</v>
      </c>
      <c r="L159" s="155">
        <f t="shared" si="159"/>
        <v>72.392708999999996</v>
      </c>
      <c r="M159" s="155">
        <f t="shared" si="160"/>
        <v>76.301915285999996</v>
      </c>
      <c r="N159" s="155">
        <f t="shared" si="153"/>
        <v>79.964407219728002</v>
      </c>
      <c r="O159" s="155">
        <f t="shared" si="161"/>
        <v>83.162983508517129</v>
      </c>
      <c r="P159" s="155">
        <v>8.4</v>
      </c>
      <c r="Q159" s="155">
        <v>8.9629999999999992</v>
      </c>
      <c r="R159" s="155">
        <f t="shared" si="211"/>
        <v>9.6531509999999994</v>
      </c>
      <c r="S159" s="155">
        <f t="shared" si="212"/>
        <v>10.174421153999999</v>
      </c>
      <c r="T159" s="155">
        <f t="shared" si="213"/>
        <v>10.662793369392</v>
      </c>
      <c r="U159" s="155">
        <f t="shared" si="214"/>
        <v>11.08930510416768</v>
      </c>
      <c r="V159" s="155">
        <v>12</v>
      </c>
      <c r="W159" s="155">
        <v>12</v>
      </c>
      <c r="X159" s="155">
        <v>12</v>
      </c>
      <c r="Y159" s="155">
        <v>12</v>
      </c>
      <c r="Z159" s="155">
        <v>12</v>
      </c>
      <c r="AA159" s="155">
        <v>12</v>
      </c>
      <c r="AB159" s="156">
        <f t="shared" si="168"/>
        <v>7986.1111111111104</v>
      </c>
      <c r="AC159" s="156">
        <f t="shared" si="163"/>
        <v>9340.9722222222226</v>
      </c>
      <c r="AD159" s="156">
        <f t="shared" si="163"/>
        <v>9948.1354166666661</v>
      </c>
      <c r="AE159" s="207">
        <f t="shared" si="194"/>
        <v>10435.594052083332</v>
      </c>
      <c r="AF159" s="207">
        <f t="shared" si="195"/>
        <v>10905.195784427082</v>
      </c>
      <c r="AG159" s="207">
        <f t="shared" si="196"/>
        <v>11341.403615804165</v>
      </c>
      <c r="AH159" s="156">
        <v>1.1499999999999999</v>
      </c>
      <c r="AI159" s="156">
        <v>1.3451</v>
      </c>
      <c r="AJ159" s="156">
        <f t="shared" si="215"/>
        <v>1.4325314999999998</v>
      </c>
      <c r="AK159" s="156">
        <f t="shared" si="216"/>
        <v>1.5027255434999998</v>
      </c>
      <c r="AL159" s="156">
        <f t="shared" si="217"/>
        <v>1.5703481929575001</v>
      </c>
      <c r="AM159" s="156">
        <f t="shared" si="218"/>
        <v>1.6331621206757998</v>
      </c>
      <c r="AN159" s="4"/>
      <c r="AO159" s="4"/>
    </row>
    <row r="160" spans="1:41" s="35" customFormat="1" ht="17.25" customHeight="1">
      <c r="A160" s="185" t="s">
        <v>328</v>
      </c>
      <c r="B160" s="184"/>
      <c r="C160" s="152"/>
      <c r="D160" s="155"/>
      <c r="E160" s="155"/>
      <c r="F160" s="155"/>
      <c r="G160" s="155"/>
      <c r="H160" s="155"/>
      <c r="I160" s="155"/>
      <c r="J160" s="155">
        <v>71.099999999999994</v>
      </c>
      <c r="K160" s="155">
        <v>79.081999999999994</v>
      </c>
      <c r="L160" s="155">
        <f t="shared" si="159"/>
        <v>85.171313999999995</v>
      </c>
      <c r="M160" s="155">
        <f t="shared" si="160"/>
        <v>89.770564956000001</v>
      </c>
      <c r="N160" s="155">
        <f t="shared" si="153"/>
        <v>94.07955207388801</v>
      </c>
      <c r="O160" s="155">
        <f t="shared" si="161"/>
        <v>97.842734156843534</v>
      </c>
      <c r="P160" s="155">
        <v>3.1</v>
      </c>
      <c r="Q160" s="155">
        <v>3.6669999999999998</v>
      </c>
      <c r="R160" s="155">
        <f t="shared" si="211"/>
        <v>3.9493589999999998</v>
      </c>
      <c r="S160" s="155">
        <f t="shared" si="212"/>
        <v>4.1626243860000001</v>
      </c>
      <c r="T160" s="155">
        <f t="shared" si="213"/>
        <v>4.3624303565279998</v>
      </c>
      <c r="U160" s="155">
        <f t="shared" si="214"/>
        <v>4.5369275707891203</v>
      </c>
      <c r="V160" s="155">
        <v>30</v>
      </c>
      <c r="W160" s="155">
        <v>31</v>
      </c>
      <c r="X160" s="155">
        <v>31</v>
      </c>
      <c r="Y160" s="155">
        <v>31</v>
      </c>
      <c r="Z160" s="155">
        <v>31</v>
      </c>
      <c r="AA160" s="155">
        <v>31</v>
      </c>
      <c r="AB160" s="156">
        <f t="shared" si="168"/>
        <v>18333.333333333332</v>
      </c>
      <c r="AC160" s="156">
        <f t="shared" si="163"/>
        <v>17796.236559139787</v>
      </c>
      <c r="AD160" s="156">
        <f t="shared" si="163"/>
        <v>18952.991935483871</v>
      </c>
      <c r="AE160" s="207">
        <f t="shared" si="194"/>
        <v>19881.688540322579</v>
      </c>
      <c r="AF160" s="207">
        <f t="shared" si="195"/>
        <v>20776.364524637094</v>
      </c>
      <c r="AG160" s="207">
        <f t="shared" si="196"/>
        <v>21607.419105622579</v>
      </c>
      <c r="AH160" s="156">
        <v>6.6</v>
      </c>
      <c r="AI160" s="156">
        <v>6.6201999999999996</v>
      </c>
      <c r="AJ160" s="156">
        <f t="shared" si="215"/>
        <v>7.0505129999999996</v>
      </c>
      <c r="AK160" s="156">
        <f t="shared" si="216"/>
        <v>7.3959881369999989</v>
      </c>
      <c r="AL160" s="156">
        <f t="shared" si="217"/>
        <v>7.7288076031649986</v>
      </c>
      <c r="AM160" s="156">
        <f t="shared" si="218"/>
        <v>8.037959907291599</v>
      </c>
      <c r="AN160" s="4"/>
      <c r="AO160" s="4"/>
    </row>
    <row r="161" spans="1:41" s="35" customFormat="1" ht="17.25" customHeight="1">
      <c r="A161" s="185" t="s">
        <v>329</v>
      </c>
      <c r="B161" s="184"/>
      <c r="C161" s="152"/>
      <c r="D161" s="155"/>
      <c r="E161" s="155"/>
      <c r="F161" s="155"/>
      <c r="G161" s="155"/>
      <c r="H161" s="155"/>
      <c r="I161" s="155"/>
      <c r="J161" s="155">
        <v>22</v>
      </c>
      <c r="K161" s="155">
        <v>15.445</v>
      </c>
      <c r="L161" s="155">
        <f t="shared" si="159"/>
        <v>16.634264999999999</v>
      </c>
      <c r="M161" s="155">
        <f t="shared" si="160"/>
        <v>17.532515310000001</v>
      </c>
      <c r="N161" s="155">
        <f t="shared" si="153"/>
        <v>18.374076044880002</v>
      </c>
      <c r="O161" s="155">
        <f t="shared" si="161"/>
        <v>19.109039086675203</v>
      </c>
      <c r="P161" s="155">
        <v>1.8</v>
      </c>
      <c r="Q161" s="155">
        <v>0.28699999999999998</v>
      </c>
      <c r="R161" s="155">
        <f t="shared" si="211"/>
        <v>0.30909899999999996</v>
      </c>
      <c r="S161" s="155">
        <f t="shared" si="212"/>
        <v>0.32579034599999995</v>
      </c>
      <c r="T161" s="155">
        <f t="shared" si="213"/>
        <v>0.34142828260799996</v>
      </c>
      <c r="U161" s="155">
        <f t="shared" si="214"/>
        <v>0.35508541391231996</v>
      </c>
      <c r="V161" s="155">
        <v>16</v>
      </c>
      <c r="W161" s="155">
        <v>9</v>
      </c>
      <c r="X161" s="155">
        <v>11</v>
      </c>
      <c r="Y161" s="155">
        <v>11</v>
      </c>
      <c r="Z161" s="155">
        <v>11</v>
      </c>
      <c r="AA161" s="155">
        <v>11</v>
      </c>
      <c r="AB161" s="156">
        <f t="shared" si="168"/>
        <v>6250</v>
      </c>
      <c r="AC161" s="156">
        <f t="shared" si="163"/>
        <v>10187.962962962964</v>
      </c>
      <c r="AD161" s="156">
        <f t="shared" si="163"/>
        <v>8877.420454545454</v>
      </c>
      <c r="AE161" s="207">
        <f t="shared" si="194"/>
        <v>9312.4140568181811</v>
      </c>
      <c r="AF161" s="207">
        <f t="shared" si="195"/>
        <v>9731.4726893749994</v>
      </c>
      <c r="AG161" s="207">
        <f t="shared" si="196"/>
        <v>10120.73159695</v>
      </c>
      <c r="AH161" s="156">
        <v>1.2</v>
      </c>
      <c r="AI161" s="156">
        <v>1.1003000000000001</v>
      </c>
      <c r="AJ161" s="156">
        <f t="shared" si="215"/>
        <v>1.1718195</v>
      </c>
      <c r="AK161" s="156">
        <f t="shared" si="216"/>
        <v>1.2292386554999999</v>
      </c>
      <c r="AL161" s="156">
        <f t="shared" si="217"/>
        <v>1.2845543949974998</v>
      </c>
      <c r="AM161" s="156">
        <f t="shared" si="218"/>
        <v>1.3359365707974</v>
      </c>
      <c r="AN161" s="4"/>
      <c r="AO161" s="4"/>
    </row>
    <row r="162" spans="1:41" s="35" customFormat="1" ht="17.25" customHeight="1">
      <c r="A162" s="185" t="s">
        <v>330</v>
      </c>
      <c r="B162" s="184"/>
      <c r="C162" s="152"/>
      <c r="D162" s="155"/>
      <c r="E162" s="155"/>
      <c r="F162" s="155"/>
      <c r="G162" s="155"/>
      <c r="H162" s="155"/>
      <c r="I162" s="155"/>
      <c r="J162" s="155">
        <v>8.4</v>
      </c>
      <c r="K162" s="155">
        <v>42.848999999999997</v>
      </c>
      <c r="L162" s="155">
        <f t="shared" si="159"/>
        <v>46.148372999999992</v>
      </c>
      <c r="M162" s="155">
        <f t="shared" si="160"/>
        <v>48.640385141999992</v>
      </c>
      <c r="N162" s="155">
        <f t="shared" si="153"/>
        <v>50.975123628815993</v>
      </c>
      <c r="O162" s="155">
        <f t="shared" si="161"/>
        <v>53.014128573968634</v>
      </c>
      <c r="P162" s="155">
        <v>0.9</v>
      </c>
      <c r="Q162" s="155">
        <v>-0.216</v>
      </c>
      <c r="R162" s="155">
        <f t="shared" si="211"/>
        <v>-0.23263199999999998</v>
      </c>
      <c r="S162" s="155">
        <f t="shared" si="212"/>
        <v>-0.24519412799999998</v>
      </c>
      <c r="T162" s="155">
        <f t="shared" si="213"/>
        <v>-0.25696344614400002</v>
      </c>
      <c r="U162" s="155">
        <f t="shared" si="214"/>
        <v>-0.26724198398976001</v>
      </c>
      <c r="V162" s="155">
        <v>11</v>
      </c>
      <c r="W162" s="155">
        <v>11</v>
      </c>
      <c r="X162" s="155">
        <v>9</v>
      </c>
      <c r="Y162" s="155">
        <v>9</v>
      </c>
      <c r="Z162" s="155">
        <v>9</v>
      </c>
      <c r="AA162" s="155">
        <v>9</v>
      </c>
      <c r="AB162" s="156">
        <f t="shared" si="168"/>
        <v>6060.6060606060601</v>
      </c>
      <c r="AC162" s="156">
        <f t="shared" si="163"/>
        <v>8909.0909090909099</v>
      </c>
      <c r="AD162" s="156">
        <f t="shared" si="163"/>
        <v>11596.666666666664</v>
      </c>
      <c r="AE162" s="207">
        <f t="shared" si="194"/>
        <v>12164.90333333333</v>
      </c>
      <c r="AF162" s="207">
        <f t="shared" si="195"/>
        <v>12712.323983333328</v>
      </c>
      <c r="AG162" s="207">
        <f t="shared" si="196"/>
        <v>13220.816942666661</v>
      </c>
      <c r="AH162" s="156">
        <v>0.8</v>
      </c>
      <c r="AI162" s="156">
        <v>1.1759999999999999</v>
      </c>
      <c r="AJ162" s="156">
        <f t="shared" si="215"/>
        <v>1.2524399999999998</v>
      </c>
      <c r="AK162" s="156">
        <f t="shared" si="216"/>
        <v>1.3138095599999995</v>
      </c>
      <c r="AL162" s="156">
        <f t="shared" si="217"/>
        <v>1.3729309901999993</v>
      </c>
      <c r="AM162" s="156">
        <f t="shared" si="218"/>
        <v>1.4278482298079995</v>
      </c>
      <c r="AN162" s="4"/>
      <c r="AO162" s="4"/>
    </row>
    <row r="163" spans="1:41" s="35" customFormat="1" ht="17.25" customHeight="1">
      <c r="A163" s="181" t="s">
        <v>331</v>
      </c>
      <c r="B163" s="182"/>
      <c r="C163" s="152"/>
      <c r="D163" s="155"/>
      <c r="E163" s="155"/>
      <c r="F163" s="155"/>
      <c r="G163" s="155"/>
      <c r="H163" s="155"/>
      <c r="I163" s="155"/>
      <c r="J163" s="155">
        <v>29.5</v>
      </c>
      <c r="K163" s="155">
        <v>28.561</v>
      </c>
      <c r="L163" s="155">
        <f t="shared" si="159"/>
        <v>30.760196999999998</v>
      </c>
      <c r="M163" s="155">
        <f t="shared" si="160"/>
        <v>32.421247637999997</v>
      </c>
      <c r="N163" s="155">
        <f t="shared" si="153"/>
        <v>33.977467524623997</v>
      </c>
      <c r="O163" s="155">
        <f t="shared" si="161"/>
        <v>35.336566225608955</v>
      </c>
      <c r="P163" s="155">
        <v>0.3</v>
      </c>
      <c r="Q163" s="155">
        <v>0.29799999999999999</v>
      </c>
      <c r="R163" s="155">
        <f t="shared" si="211"/>
        <v>0.32094599999999995</v>
      </c>
      <c r="S163" s="155">
        <f t="shared" si="212"/>
        <v>0.33827708399999995</v>
      </c>
      <c r="T163" s="155">
        <f t="shared" si="213"/>
        <v>0.35451438403199997</v>
      </c>
      <c r="U163" s="155">
        <f t="shared" si="214"/>
        <v>0.36869495939328001</v>
      </c>
      <c r="V163" s="155">
        <v>2</v>
      </c>
      <c r="W163" s="155">
        <v>2</v>
      </c>
      <c r="X163" s="155">
        <v>2</v>
      </c>
      <c r="Y163" s="155">
        <v>2</v>
      </c>
      <c r="Z163" s="155">
        <v>2</v>
      </c>
      <c r="AA163" s="155">
        <v>2</v>
      </c>
      <c r="AB163" s="156">
        <f t="shared" si="168"/>
        <v>5833.333333333333</v>
      </c>
      <c r="AC163" s="156">
        <f t="shared" si="163"/>
        <v>8633.3333333333339</v>
      </c>
      <c r="AD163" s="156">
        <f t="shared" si="163"/>
        <v>9194.4999999999982</v>
      </c>
      <c r="AE163" s="207">
        <f t="shared" si="194"/>
        <v>9645.0304999999971</v>
      </c>
      <c r="AF163" s="207">
        <f t="shared" si="195"/>
        <v>10079.056872499996</v>
      </c>
      <c r="AG163" s="207">
        <f t="shared" si="196"/>
        <v>10482.219147399996</v>
      </c>
      <c r="AH163" s="156">
        <v>0.14000000000000001</v>
      </c>
      <c r="AI163" s="156">
        <v>0.2072</v>
      </c>
      <c r="AJ163" s="156">
        <f t="shared" si="215"/>
        <v>0.22066799999999998</v>
      </c>
      <c r="AK163" s="156">
        <f t="shared" si="216"/>
        <v>0.23148073199999994</v>
      </c>
      <c r="AL163" s="156">
        <f t="shared" si="217"/>
        <v>0.24189736493999989</v>
      </c>
      <c r="AM163" s="156">
        <f t="shared" si="218"/>
        <v>0.2515732595375999</v>
      </c>
      <c r="AN163" s="4"/>
      <c r="AO163" s="4"/>
    </row>
    <row r="164" spans="1:41" s="35" customFormat="1" ht="17.25" customHeight="1">
      <c r="A164" s="186" t="s">
        <v>332</v>
      </c>
      <c r="B164" s="182"/>
      <c r="C164" s="152"/>
      <c r="D164" s="155"/>
      <c r="E164" s="155"/>
      <c r="F164" s="155"/>
      <c r="G164" s="155"/>
      <c r="H164" s="155"/>
      <c r="I164" s="155"/>
      <c r="J164" s="155">
        <v>1.8</v>
      </c>
      <c r="K164" s="155">
        <v>18.46</v>
      </c>
      <c r="L164" s="155">
        <f t="shared" si="159"/>
        <v>19.881419999999999</v>
      </c>
      <c r="M164" s="155">
        <f t="shared" si="160"/>
        <v>20.95501668</v>
      </c>
      <c r="N164" s="155">
        <f t="shared" si="153"/>
        <v>21.960857480640001</v>
      </c>
      <c r="O164" s="155">
        <f t="shared" si="161"/>
        <v>22.839291779865601</v>
      </c>
      <c r="P164" s="155">
        <v>0.25</v>
      </c>
      <c r="Q164" s="155">
        <v>0.67800000000000005</v>
      </c>
      <c r="R164" s="155">
        <f t="shared" si="211"/>
        <v>0.73020600000000002</v>
      </c>
      <c r="S164" s="155">
        <f t="shared" si="212"/>
        <v>0.76963712400000006</v>
      </c>
      <c r="T164" s="155">
        <f t="shared" si="213"/>
        <v>0.80657970595200013</v>
      </c>
      <c r="U164" s="155">
        <f t="shared" si="214"/>
        <v>0.83884289419008018</v>
      </c>
      <c r="V164" s="155">
        <v>3</v>
      </c>
      <c r="W164" s="155">
        <v>4</v>
      </c>
      <c r="X164" s="155">
        <v>4</v>
      </c>
      <c r="Y164" s="155">
        <v>4</v>
      </c>
      <c r="Z164" s="155">
        <v>4</v>
      </c>
      <c r="AA164" s="155">
        <v>4</v>
      </c>
      <c r="AB164" s="156">
        <f t="shared" si="168"/>
        <v>8333.3333333333339</v>
      </c>
      <c r="AC164" s="156">
        <f t="shared" si="163"/>
        <v>6000</v>
      </c>
      <c r="AD164" s="156">
        <f t="shared" si="163"/>
        <v>6389.9999999999991</v>
      </c>
      <c r="AE164" s="207">
        <f t="shared" si="194"/>
        <v>6703.1099999999988</v>
      </c>
      <c r="AF164" s="207">
        <f t="shared" si="195"/>
        <v>7004.7499499999985</v>
      </c>
      <c r="AG164" s="207">
        <f t="shared" si="196"/>
        <v>7284.9399479999984</v>
      </c>
      <c r="AH164" s="156">
        <v>0.3</v>
      </c>
      <c r="AI164" s="156">
        <v>0.28799999999999998</v>
      </c>
      <c r="AJ164" s="156">
        <f t="shared" si="215"/>
        <v>0.30671999999999994</v>
      </c>
      <c r="AK164" s="156">
        <f t="shared" si="216"/>
        <v>0.32174927999999992</v>
      </c>
      <c r="AL164" s="156">
        <f t="shared" si="217"/>
        <v>0.33622799759999994</v>
      </c>
      <c r="AM164" s="156">
        <f t="shared" si="218"/>
        <v>0.34967711750399993</v>
      </c>
      <c r="AN164" s="4"/>
      <c r="AO164" s="4"/>
    </row>
    <row r="165" spans="1:41" s="35" customFormat="1" ht="17.25" customHeight="1">
      <c r="A165" s="186" t="s">
        <v>333</v>
      </c>
      <c r="B165" s="182"/>
      <c r="C165" s="152"/>
      <c r="D165" s="155"/>
      <c r="E165" s="155"/>
      <c r="F165" s="155"/>
      <c r="G165" s="155"/>
      <c r="H165" s="155"/>
      <c r="I165" s="155"/>
      <c r="J165" s="155">
        <v>5.9</v>
      </c>
      <c r="K165" s="155">
        <v>54.887</v>
      </c>
      <c r="L165" s="155">
        <f t="shared" si="159"/>
        <v>59.113298999999998</v>
      </c>
      <c r="M165" s="155">
        <f t="shared" si="160"/>
        <v>62.305417146000003</v>
      </c>
      <c r="N165" s="155">
        <f t="shared" si="153"/>
        <v>65.296077169008001</v>
      </c>
      <c r="O165" s="155">
        <f t="shared" si="161"/>
        <v>67.907920255768317</v>
      </c>
      <c r="P165" s="155">
        <v>0.4</v>
      </c>
      <c r="Q165" s="155">
        <v>3.49</v>
      </c>
      <c r="R165" s="155">
        <f t="shared" si="211"/>
        <v>3.7587299999999999</v>
      </c>
      <c r="S165" s="155">
        <f t="shared" si="212"/>
        <v>3.9617014200000003</v>
      </c>
      <c r="T165" s="155">
        <f t="shared" si="213"/>
        <v>4.1518630881600007</v>
      </c>
      <c r="U165" s="155">
        <f t="shared" si="214"/>
        <v>4.3179376116864008</v>
      </c>
      <c r="V165" s="155">
        <v>13</v>
      </c>
      <c r="W165" s="155">
        <v>14</v>
      </c>
      <c r="X165" s="155">
        <v>14</v>
      </c>
      <c r="Y165" s="155">
        <v>14</v>
      </c>
      <c r="Z165" s="155">
        <v>14</v>
      </c>
      <c r="AA165" s="155">
        <v>14</v>
      </c>
      <c r="AB165" s="156">
        <f t="shared" si="168"/>
        <v>7243.5897435897432</v>
      </c>
      <c r="AC165" s="156">
        <f t="shared" si="163"/>
        <v>8717.8571428571431</v>
      </c>
      <c r="AD165" s="156">
        <f t="shared" si="163"/>
        <v>9284.5178571428569</v>
      </c>
      <c r="AE165" s="207">
        <f t="shared" si="194"/>
        <v>9739.4592321428554</v>
      </c>
      <c r="AF165" s="207">
        <f t="shared" si="195"/>
        <v>10177.734897589284</v>
      </c>
      <c r="AG165" s="207">
        <f t="shared" si="196"/>
        <v>10584.844293492855</v>
      </c>
      <c r="AH165" s="156">
        <v>1.1299999999999999</v>
      </c>
      <c r="AI165" s="156">
        <v>1.4645999999999999</v>
      </c>
      <c r="AJ165" s="156">
        <f t="shared" si="215"/>
        <v>1.5597989999999997</v>
      </c>
      <c r="AK165" s="156">
        <f t="shared" si="216"/>
        <v>1.6362291509999998</v>
      </c>
      <c r="AL165" s="156">
        <f t="shared" si="217"/>
        <v>1.7098594627949997</v>
      </c>
      <c r="AM165" s="156">
        <f t="shared" si="218"/>
        <v>1.7782538413067996</v>
      </c>
      <c r="AN165" s="4"/>
      <c r="AO165" s="4"/>
    </row>
    <row r="166" spans="1:41" s="35" customFormat="1" ht="17.25" customHeight="1">
      <c r="A166" s="186" t="s">
        <v>334</v>
      </c>
      <c r="B166" s="182"/>
      <c r="C166" s="152"/>
      <c r="D166" s="155"/>
      <c r="E166" s="155"/>
      <c r="F166" s="155"/>
      <c r="G166" s="155"/>
      <c r="H166" s="155"/>
      <c r="I166" s="155"/>
      <c r="J166" s="155">
        <v>4</v>
      </c>
      <c r="K166" s="155">
        <v>0.23599999999999999</v>
      </c>
      <c r="L166" s="155">
        <f t="shared" si="159"/>
        <v>0.25417199999999995</v>
      </c>
      <c r="M166" s="155">
        <f t="shared" si="160"/>
        <v>0.26789728799999996</v>
      </c>
      <c r="N166" s="155">
        <f t="shared" si="153"/>
        <v>0.28075635782399999</v>
      </c>
      <c r="O166" s="155">
        <f t="shared" si="161"/>
        <v>0.29198661213695998</v>
      </c>
      <c r="P166" s="155">
        <v>7.0000000000000007E-2</v>
      </c>
      <c r="Q166" s="155">
        <v>3.4000000000000002E-2</v>
      </c>
      <c r="R166" s="155">
        <f t="shared" si="211"/>
        <v>3.6617999999999998E-2</v>
      </c>
      <c r="S166" s="155">
        <f t="shared" si="212"/>
        <v>3.8595372000000003E-2</v>
      </c>
      <c r="T166" s="155">
        <f t="shared" si="213"/>
        <v>4.0447949856000004E-2</v>
      </c>
      <c r="U166" s="155">
        <f t="shared" si="214"/>
        <v>4.2065867850240003E-2</v>
      </c>
      <c r="V166" s="155">
        <v>7</v>
      </c>
      <c r="W166" s="155">
        <v>2</v>
      </c>
      <c r="X166" s="155"/>
      <c r="Y166" s="155"/>
      <c r="Z166" s="155"/>
      <c r="AA166" s="155"/>
      <c r="AB166" s="156">
        <f t="shared" si="168"/>
        <v>4761.9047619047624</v>
      </c>
      <c r="AC166" s="156">
        <f t="shared" si="163"/>
        <v>5625</v>
      </c>
      <c r="AD166" s="156"/>
      <c r="AE166" s="207"/>
      <c r="AF166" s="207"/>
      <c r="AG166" s="207"/>
      <c r="AH166" s="156">
        <v>0.4</v>
      </c>
      <c r="AI166" s="156">
        <v>0.13500000000000001</v>
      </c>
      <c r="AJ166" s="156">
        <f t="shared" si="215"/>
        <v>0.14377500000000001</v>
      </c>
      <c r="AK166" s="156">
        <f t="shared" ref="AK166:AK169" si="219">AE166*Y166*12/1000000</f>
        <v>0</v>
      </c>
      <c r="AL166" s="156">
        <f t="shared" ref="AL166:AL169" si="220">AF166*Z166*12/1000000</f>
        <v>0</v>
      </c>
      <c r="AM166" s="156">
        <f t="shared" ref="AM166:AM169" si="221">AG166*AA166*12/1000000</f>
        <v>0</v>
      </c>
      <c r="AN166" s="4"/>
      <c r="AO166" s="4"/>
    </row>
    <row r="167" spans="1:41" s="35" customFormat="1" ht="17.25" customHeight="1">
      <c r="A167" s="186" t="s">
        <v>335</v>
      </c>
      <c r="B167" s="182"/>
      <c r="C167" s="152"/>
      <c r="D167" s="155"/>
      <c r="E167" s="155"/>
      <c r="F167" s="155"/>
      <c r="G167" s="155"/>
      <c r="H167" s="155"/>
      <c r="I167" s="155"/>
      <c r="J167" s="155">
        <v>21.9</v>
      </c>
      <c r="K167" s="155">
        <v>21.899000000000001</v>
      </c>
      <c r="L167" s="155">
        <f t="shared" si="159"/>
        <v>23.585222999999999</v>
      </c>
      <c r="M167" s="155">
        <f t="shared" si="160"/>
        <v>24.858825041999999</v>
      </c>
      <c r="N167" s="155">
        <f t="shared" si="153"/>
        <v>26.052048644016001</v>
      </c>
      <c r="O167" s="155">
        <f t="shared" si="161"/>
        <v>27.094130589776643</v>
      </c>
      <c r="P167" s="155">
        <v>2.6</v>
      </c>
      <c r="Q167" s="155">
        <v>2.5329999999999999</v>
      </c>
      <c r="R167" s="155">
        <f t="shared" si="211"/>
        <v>2.7280409999999997</v>
      </c>
      <c r="S167" s="155">
        <f t="shared" si="212"/>
        <v>2.8753552139999998</v>
      </c>
      <c r="T167" s="155">
        <f t="shared" si="213"/>
        <v>3.0133722642719998</v>
      </c>
      <c r="U167" s="155">
        <f t="shared" si="214"/>
        <v>3.1339071548428801</v>
      </c>
      <c r="V167" s="155">
        <v>10</v>
      </c>
      <c r="W167" s="155">
        <v>10</v>
      </c>
      <c r="X167" s="155">
        <v>0</v>
      </c>
      <c r="Y167" s="155">
        <v>0</v>
      </c>
      <c r="Z167" s="155">
        <v>0</v>
      </c>
      <c r="AA167" s="155">
        <v>0</v>
      </c>
      <c r="AB167" s="156">
        <f t="shared" si="168"/>
        <v>6166.666666666667</v>
      </c>
      <c r="AC167" s="156">
        <f t="shared" si="163"/>
        <v>11874.166666666666</v>
      </c>
      <c r="AD167" s="156"/>
      <c r="AE167" s="207"/>
      <c r="AF167" s="207"/>
      <c r="AG167" s="207"/>
      <c r="AH167" s="156">
        <v>0.74</v>
      </c>
      <c r="AI167" s="156">
        <v>1.4249000000000001</v>
      </c>
      <c r="AJ167" s="156">
        <f t="shared" si="215"/>
        <v>1.5175185</v>
      </c>
      <c r="AK167" s="156">
        <f t="shared" si="219"/>
        <v>0</v>
      </c>
      <c r="AL167" s="156">
        <f t="shared" si="220"/>
        <v>0</v>
      </c>
      <c r="AM167" s="156">
        <f t="shared" si="221"/>
        <v>0</v>
      </c>
      <c r="AN167" s="4"/>
      <c r="AO167" s="4"/>
    </row>
    <row r="168" spans="1:41" s="35" customFormat="1" ht="17.25" customHeight="1">
      <c r="A168" s="181" t="s">
        <v>336</v>
      </c>
      <c r="B168" s="182"/>
      <c r="C168" s="152"/>
      <c r="D168" s="155"/>
      <c r="E168" s="155"/>
      <c r="F168" s="155"/>
      <c r="G168" s="155"/>
      <c r="H168" s="155"/>
      <c r="I168" s="155"/>
      <c r="J168" s="155">
        <v>8.6</v>
      </c>
      <c r="K168" s="155">
        <v>10.475</v>
      </c>
      <c r="L168" s="155">
        <f t="shared" si="159"/>
        <v>11.281574999999998</v>
      </c>
      <c r="M168" s="155">
        <f t="shared" si="160"/>
        <v>11.890780049999998</v>
      </c>
      <c r="N168" s="155">
        <f t="shared" si="153"/>
        <v>12.461537492399998</v>
      </c>
      <c r="O168" s="155">
        <f t="shared" si="161"/>
        <v>12.959998992095999</v>
      </c>
      <c r="P168" s="155">
        <v>0.46</v>
      </c>
      <c r="Q168" s="155">
        <v>0.371</v>
      </c>
      <c r="R168" s="155">
        <f t="shared" si="211"/>
        <v>0.39956700000000001</v>
      </c>
      <c r="S168" s="155">
        <f t="shared" si="212"/>
        <v>0.421143618</v>
      </c>
      <c r="T168" s="155">
        <f t="shared" si="213"/>
        <v>0.44135851166400003</v>
      </c>
      <c r="U168" s="155">
        <f t="shared" si="214"/>
        <v>0.45901285213056003</v>
      </c>
      <c r="V168" s="155">
        <v>2</v>
      </c>
      <c r="W168" s="155">
        <v>3</v>
      </c>
      <c r="X168" s="155">
        <v>3</v>
      </c>
      <c r="Y168" s="155">
        <v>3</v>
      </c>
      <c r="Z168" s="155">
        <v>3</v>
      </c>
      <c r="AA168" s="155">
        <v>3</v>
      </c>
      <c r="AB168" s="156">
        <f t="shared" si="168"/>
        <v>5833.333333333333</v>
      </c>
      <c r="AC168" s="156">
        <f t="shared" si="163"/>
        <v>7977.7777777777774</v>
      </c>
      <c r="AD168" s="156">
        <f t="shared" si="163"/>
        <v>8496.3333333333339</v>
      </c>
      <c r="AE168" s="207">
        <f t="shared" si="194"/>
        <v>8912.653666666667</v>
      </c>
      <c r="AF168" s="207">
        <f t="shared" si="195"/>
        <v>9313.723081666667</v>
      </c>
      <c r="AG168" s="207">
        <f t="shared" si="196"/>
        <v>9686.2720049333348</v>
      </c>
      <c r="AH168" s="156">
        <v>0.14000000000000001</v>
      </c>
      <c r="AI168" s="156">
        <v>0.28720000000000001</v>
      </c>
      <c r="AJ168" s="156">
        <f t="shared" si="215"/>
        <v>0.30586799999999997</v>
      </c>
      <c r="AK168" s="156">
        <f t="shared" si="219"/>
        <v>0.320855532</v>
      </c>
      <c r="AL168" s="156">
        <f t="shared" si="220"/>
        <v>0.33529403094000004</v>
      </c>
      <c r="AM168" s="156">
        <f t="shared" si="221"/>
        <v>0.3487057921776</v>
      </c>
      <c r="AN168" s="4"/>
      <c r="AO168" s="4"/>
    </row>
    <row r="169" spans="1:41" s="35" customFormat="1" ht="17.25" customHeight="1">
      <c r="A169" s="181" t="s">
        <v>337</v>
      </c>
      <c r="B169" s="182"/>
      <c r="C169" s="152"/>
      <c r="D169" s="155"/>
      <c r="E169" s="155"/>
      <c r="F169" s="155"/>
      <c r="G169" s="155"/>
      <c r="H169" s="155"/>
      <c r="I169" s="155"/>
      <c r="J169" s="155">
        <v>7.3</v>
      </c>
      <c r="K169" s="155">
        <v>11.936</v>
      </c>
      <c r="L169" s="155">
        <f t="shared" si="159"/>
        <v>12.855072</v>
      </c>
      <c r="M169" s="155">
        <f t="shared" si="160"/>
        <v>13.549245888</v>
      </c>
      <c r="N169" s="155">
        <f t="shared" si="153"/>
        <v>14.199609690623999</v>
      </c>
      <c r="O169" s="155">
        <f t="shared" si="161"/>
        <v>14.76759407824896</v>
      </c>
      <c r="P169" s="155">
        <v>0.38</v>
      </c>
      <c r="Q169" s="155">
        <v>1.4710000000000001</v>
      </c>
      <c r="R169" s="155">
        <f t="shared" si="211"/>
        <v>1.5842670000000001</v>
      </c>
      <c r="S169" s="155">
        <f t="shared" si="212"/>
        <v>1.6698174180000003</v>
      </c>
      <c r="T169" s="155">
        <f t="shared" si="213"/>
        <v>1.7499686540640003</v>
      </c>
      <c r="U169" s="155">
        <f t="shared" si="214"/>
        <v>1.8199674002265602</v>
      </c>
      <c r="V169" s="155">
        <v>5</v>
      </c>
      <c r="W169" s="155">
        <v>6</v>
      </c>
      <c r="X169" s="155">
        <v>6</v>
      </c>
      <c r="Y169" s="155">
        <v>6</v>
      </c>
      <c r="Z169" s="155">
        <v>6</v>
      </c>
      <c r="AA169" s="155">
        <v>6</v>
      </c>
      <c r="AB169" s="156">
        <f t="shared" si="168"/>
        <v>6666.666666666667</v>
      </c>
      <c r="AC169" s="156">
        <f t="shared" si="163"/>
        <v>7477.7777777777774</v>
      </c>
      <c r="AD169" s="156">
        <f t="shared" si="163"/>
        <v>7963.8333333333321</v>
      </c>
      <c r="AE169" s="207">
        <f t="shared" si="194"/>
        <v>8354.0611666666646</v>
      </c>
      <c r="AF169" s="207">
        <f t="shared" si="195"/>
        <v>8729.9939191666635</v>
      </c>
      <c r="AG169" s="207">
        <f t="shared" si="196"/>
        <v>9079.1936759333312</v>
      </c>
      <c r="AH169" s="156">
        <v>0.4</v>
      </c>
      <c r="AI169" s="156">
        <v>0.53839999999999999</v>
      </c>
      <c r="AJ169" s="156">
        <f t="shared" si="215"/>
        <v>0.57339599999999991</v>
      </c>
      <c r="AK169" s="156">
        <f t="shared" si="219"/>
        <v>0.60149240399999981</v>
      </c>
      <c r="AL169" s="156">
        <f t="shared" si="220"/>
        <v>0.62855956217999975</v>
      </c>
      <c r="AM169" s="156">
        <f t="shared" si="221"/>
        <v>0.65370194466719989</v>
      </c>
      <c r="AN169" s="4"/>
      <c r="AO169" s="4"/>
    </row>
    <row r="170" spans="1:41" s="35" customFormat="1" ht="17.25" customHeight="1">
      <c r="A170" s="181" t="s">
        <v>338</v>
      </c>
      <c r="B170" s="182"/>
      <c r="C170" s="152"/>
      <c r="D170" s="155"/>
      <c r="E170" s="155"/>
      <c r="F170" s="155"/>
      <c r="G170" s="155"/>
      <c r="H170" s="155"/>
      <c r="I170" s="155"/>
      <c r="J170" s="155"/>
      <c r="K170" s="155">
        <v>0</v>
      </c>
      <c r="L170" s="155"/>
      <c r="M170" s="155"/>
      <c r="N170" s="155"/>
      <c r="O170" s="155"/>
      <c r="P170" s="155"/>
      <c r="Q170" s="155">
        <v>0</v>
      </c>
      <c r="R170" s="155"/>
      <c r="S170" s="155"/>
      <c r="T170" s="155"/>
      <c r="U170" s="155"/>
      <c r="V170" s="155"/>
      <c r="W170" s="155">
        <v>0</v>
      </c>
      <c r="X170" s="155">
        <v>0</v>
      </c>
      <c r="Y170" s="155">
        <v>0</v>
      </c>
      <c r="Z170" s="155">
        <v>0</v>
      </c>
      <c r="AA170" s="155">
        <v>0</v>
      </c>
      <c r="AB170" s="156"/>
      <c r="AC170" s="156"/>
      <c r="AD170" s="156"/>
      <c r="AE170" s="207"/>
      <c r="AF170" s="207"/>
      <c r="AG170" s="207"/>
      <c r="AH170" s="156"/>
      <c r="AI170" s="156"/>
      <c r="AJ170" s="156"/>
      <c r="AK170" s="156"/>
      <c r="AL170" s="156"/>
      <c r="AM170" s="156"/>
      <c r="AN170" s="4"/>
      <c r="AO170" s="4"/>
    </row>
    <row r="171" spans="1:41" s="35" customFormat="1" ht="17.25" customHeight="1">
      <c r="A171" s="179" t="s">
        <v>339</v>
      </c>
      <c r="B171" s="180" t="s">
        <v>266</v>
      </c>
      <c r="C171" s="152"/>
      <c r="D171" s="155"/>
      <c r="E171" s="155"/>
      <c r="F171" s="155"/>
      <c r="G171" s="155"/>
      <c r="H171" s="155"/>
      <c r="I171" s="155"/>
      <c r="J171" s="155"/>
      <c r="K171" s="155">
        <v>0</v>
      </c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6"/>
      <c r="AC171" s="156"/>
      <c r="AD171" s="156"/>
      <c r="AE171" s="207"/>
      <c r="AF171" s="207"/>
      <c r="AG171" s="207"/>
      <c r="AH171" s="156"/>
      <c r="AI171" s="156"/>
      <c r="AJ171" s="156"/>
      <c r="AK171" s="156"/>
      <c r="AL171" s="156"/>
      <c r="AM171" s="156"/>
      <c r="AN171" s="4"/>
      <c r="AO171" s="4"/>
    </row>
    <row r="172" spans="1:41" s="35" customFormat="1" ht="17.25" customHeight="1">
      <c r="A172" s="188" t="s">
        <v>340</v>
      </c>
      <c r="B172" s="180"/>
      <c r="C172" s="152"/>
      <c r="D172" s="155"/>
      <c r="E172" s="155"/>
      <c r="F172" s="155"/>
      <c r="G172" s="155"/>
      <c r="H172" s="155"/>
      <c r="I172" s="155"/>
      <c r="J172" s="155">
        <v>3.3</v>
      </c>
      <c r="K172" s="155">
        <v>3.081</v>
      </c>
      <c r="L172" s="155">
        <f t="shared" si="159"/>
        <v>3.3182369999999999</v>
      </c>
      <c r="M172" s="155">
        <f t="shared" si="160"/>
        <v>3.497421798</v>
      </c>
      <c r="N172" s="155">
        <f t="shared" si="153"/>
        <v>3.665298044304</v>
      </c>
      <c r="O172" s="155">
        <f t="shared" si="161"/>
        <v>3.81190996607616</v>
      </c>
      <c r="P172" s="155">
        <v>0.65</v>
      </c>
      <c r="Q172" s="155">
        <v>0.25900000000000001</v>
      </c>
      <c r="R172" s="155">
        <f>Q172*1.077</f>
        <v>0.278943</v>
      </c>
      <c r="S172" s="155">
        <f>R172*1.054</f>
        <v>0.29400592200000003</v>
      </c>
      <c r="T172" s="155">
        <f t="shared" ref="T172" si="222">S172*1.048</f>
        <v>0.30811820625600006</v>
      </c>
      <c r="U172" s="155">
        <f>T172*1.04</f>
        <v>0.32044293450624006</v>
      </c>
      <c r="V172" s="155">
        <v>2</v>
      </c>
      <c r="W172" s="155">
        <v>2</v>
      </c>
      <c r="X172" s="155">
        <v>2</v>
      </c>
      <c r="Y172" s="155">
        <v>2</v>
      </c>
      <c r="Z172" s="155">
        <v>2</v>
      </c>
      <c r="AA172" s="155">
        <v>2</v>
      </c>
      <c r="AB172" s="156">
        <f t="shared" si="168"/>
        <v>7916.666666666667</v>
      </c>
      <c r="AC172" s="156">
        <f t="shared" si="163"/>
        <v>22437.5</v>
      </c>
      <c r="AD172" s="156">
        <f t="shared" si="163"/>
        <v>23895.937499999996</v>
      </c>
      <c r="AE172" s="207">
        <f t="shared" si="194"/>
        <v>25066.838437499995</v>
      </c>
      <c r="AF172" s="207">
        <f t="shared" si="195"/>
        <v>26194.846167187494</v>
      </c>
      <c r="AG172" s="207">
        <f t="shared" si="196"/>
        <v>27242.640013874996</v>
      </c>
      <c r="AH172" s="156">
        <v>0.19</v>
      </c>
      <c r="AI172" s="156">
        <v>0.53849999999999998</v>
      </c>
      <c r="AJ172" s="156">
        <f t="shared" ref="AJ172" si="223">AI172*1.065</f>
        <v>0.57350249999999992</v>
      </c>
      <c r="AK172" s="156">
        <f t="shared" ref="AK172" si="224">AE172*Y172*12/1000000</f>
        <v>0.60160412249999984</v>
      </c>
      <c r="AL172" s="156">
        <f t="shared" ref="AL172" si="225">AF172*Z172*12/1000000</f>
        <v>0.62867630801249985</v>
      </c>
      <c r="AM172" s="156">
        <f t="shared" ref="AM172" si="226">AG172*AA172*12/1000000</f>
        <v>0.65382336033299981</v>
      </c>
      <c r="AN172" s="4"/>
      <c r="AO172" s="4"/>
    </row>
    <row r="173" spans="1:41" s="35" customFormat="1" ht="17.25" customHeight="1">
      <c r="A173" s="186" t="s">
        <v>341</v>
      </c>
      <c r="B173" s="182"/>
      <c r="C173" s="152"/>
      <c r="D173" s="155"/>
      <c r="E173" s="155"/>
      <c r="F173" s="155"/>
      <c r="G173" s="155"/>
      <c r="H173" s="155"/>
      <c r="I173" s="155"/>
      <c r="J173" s="155">
        <v>0.6</v>
      </c>
      <c r="K173" s="155">
        <v>0</v>
      </c>
      <c r="L173" s="155"/>
      <c r="M173" s="155"/>
      <c r="N173" s="155"/>
      <c r="O173" s="155"/>
      <c r="P173" s="155">
        <v>0.06</v>
      </c>
      <c r="Q173" s="155"/>
      <c r="R173" s="155"/>
      <c r="S173" s="155"/>
      <c r="T173" s="155"/>
      <c r="U173" s="155"/>
      <c r="V173" s="155">
        <v>1</v>
      </c>
      <c r="W173" s="155"/>
      <c r="X173" s="155"/>
      <c r="Y173" s="155"/>
      <c r="Z173" s="155"/>
      <c r="AA173" s="155"/>
      <c r="AB173" s="156">
        <f t="shared" si="168"/>
        <v>5833.333333333333</v>
      </c>
      <c r="AC173" s="156"/>
      <c r="AD173" s="156"/>
      <c r="AE173" s="207"/>
      <c r="AF173" s="207"/>
      <c r="AG173" s="207"/>
      <c r="AH173" s="156">
        <v>7.0000000000000007E-2</v>
      </c>
      <c r="AI173" s="156"/>
      <c r="AJ173" s="156"/>
      <c r="AK173" s="156"/>
      <c r="AL173" s="156"/>
      <c r="AM173" s="156"/>
      <c r="AN173" s="4"/>
      <c r="AO173" s="4"/>
    </row>
    <row r="174" spans="1:41" s="35" customFormat="1" ht="17.25" customHeight="1">
      <c r="A174" s="186" t="s">
        <v>342</v>
      </c>
      <c r="B174" s="182" t="s">
        <v>197</v>
      </c>
      <c r="C174" s="152"/>
      <c r="D174" s="155"/>
      <c r="E174" s="155"/>
      <c r="F174" s="155"/>
      <c r="G174" s="155"/>
      <c r="H174" s="155"/>
      <c r="I174" s="155"/>
      <c r="J174" s="155"/>
      <c r="K174" s="155">
        <v>0</v>
      </c>
      <c r="L174" s="155"/>
      <c r="M174" s="155"/>
      <c r="N174" s="155"/>
      <c r="O174" s="155"/>
      <c r="P174" s="155"/>
      <c r="Q174" s="155">
        <v>0</v>
      </c>
      <c r="R174" s="155"/>
      <c r="S174" s="155"/>
      <c r="T174" s="155"/>
      <c r="U174" s="155"/>
      <c r="V174" s="155"/>
      <c r="W174" s="155">
        <v>3</v>
      </c>
      <c r="X174" s="155">
        <v>3</v>
      </c>
      <c r="Y174" s="155">
        <v>3</v>
      </c>
      <c r="Z174" s="155">
        <v>3</v>
      </c>
      <c r="AA174" s="155">
        <v>3</v>
      </c>
      <c r="AB174" s="156"/>
      <c r="AC174" s="156">
        <f t="shared" si="163"/>
        <v>7375</v>
      </c>
      <c r="AD174" s="156">
        <f t="shared" si="163"/>
        <v>7854.375</v>
      </c>
      <c r="AE174" s="207">
        <f t="shared" si="194"/>
        <v>8239.2393749999992</v>
      </c>
      <c r="AF174" s="207">
        <f t="shared" si="195"/>
        <v>8610.0051468749989</v>
      </c>
      <c r="AG174" s="207">
        <f t="shared" si="196"/>
        <v>8954.40535275</v>
      </c>
      <c r="AH174" s="156"/>
      <c r="AI174" s="156">
        <v>0.26550000000000001</v>
      </c>
      <c r="AJ174" s="156">
        <f t="shared" ref="AJ174:AJ175" si="227">AI174*1.065</f>
        <v>0.28275749999999999</v>
      </c>
      <c r="AK174" s="156">
        <f t="shared" ref="AK174:AK175" si="228">AE174*Y174*12/1000000</f>
        <v>0.29661261750000001</v>
      </c>
      <c r="AL174" s="156">
        <f t="shared" ref="AL174:AL175" si="229">AF174*Z174*12/1000000</f>
        <v>0.30996018528749997</v>
      </c>
      <c r="AM174" s="156">
        <f t="shared" ref="AM174:AM175" si="230">AG174*AA174*12/1000000</f>
        <v>0.32235859269900002</v>
      </c>
      <c r="AN174" s="4"/>
      <c r="AO174" s="4"/>
    </row>
    <row r="175" spans="1:41" s="35" customFormat="1" ht="17.25" customHeight="1">
      <c r="A175" s="181" t="s">
        <v>343</v>
      </c>
      <c r="B175" s="182"/>
      <c r="C175" s="152"/>
      <c r="D175" s="155"/>
      <c r="E175" s="155"/>
      <c r="F175" s="155"/>
      <c r="G175" s="155"/>
      <c r="H175" s="155"/>
      <c r="I175" s="155"/>
      <c r="J175" s="155">
        <v>164.8</v>
      </c>
      <c r="K175" s="155">
        <v>178.977</v>
      </c>
      <c r="L175" s="155">
        <f t="shared" ref="L175:L188" si="231">K175*1.077</f>
        <v>192.758229</v>
      </c>
      <c r="M175" s="155">
        <f t="shared" ref="M175:M188" si="232">L175*1.054</f>
        <v>203.16717336600001</v>
      </c>
      <c r="N175" s="155">
        <f t="shared" ref="N175:N188" si="233">M175*1.048</f>
        <v>212.91919768756802</v>
      </c>
      <c r="O175" s="155">
        <f t="shared" ref="O175:O188" si="234">N175*1.04</f>
        <v>221.43596559507074</v>
      </c>
      <c r="P175" s="155">
        <v>7</v>
      </c>
      <c r="Q175" s="155">
        <v>6.4359999999999999</v>
      </c>
      <c r="R175" s="155">
        <f>Q175*1.077</f>
        <v>6.9315720000000001</v>
      </c>
      <c r="S175" s="155">
        <f>R175*1.054</f>
        <v>7.3058768880000002</v>
      </c>
      <c r="T175" s="155">
        <f t="shared" ref="T175" si="235">S175*1.048</f>
        <v>7.6565589786240009</v>
      </c>
      <c r="U175" s="155">
        <f>T175*1.04</f>
        <v>7.9628213377689612</v>
      </c>
      <c r="V175" s="155">
        <v>89</v>
      </c>
      <c r="W175" s="155">
        <v>86</v>
      </c>
      <c r="X175" s="155">
        <v>83</v>
      </c>
      <c r="Y175" s="155">
        <v>83</v>
      </c>
      <c r="Z175" s="155">
        <v>83</v>
      </c>
      <c r="AA175" s="155">
        <v>83</v>
      </c>
      <c r="AB175" s="156">
        <f t="shared" ref="AB175:AD190" si="236">(AH175*1000000/V175)/12</f>
        <v>13764.044943820225</v>
      </c>
      <c r="AC175" s="156">
        <f t="shared" si="236"/>
        <v>15420.155038759689</v>
      </c>
      <c r="AD175" s="156">
        <f t="shared" si="236"/>
        <v>17016.048192771083</v>
      </c>
      <c r="AE175" s="207">
        <f t="shared" si="194"/>
        <v>17849.834554216864</v>
      </c>
      <c r="AF175" s="207">
        <f t="shared" si="195"/>
        <v>18653.077109156624</v>
      </c>
      <c r="AG175" s="207">
        <f t="shared" si="196"/>
        <v>19399.200193522891</v>
      </c>
      <c r="AH175" s="156">
        <v>14.7</v>
      </c>
      <c r="AI175" s="156">
        <v>15.913600000000001</v>
      </c>
      <c r="AJ175" s="156">
        <f t="shared" si="227"/>
        <v>16.947983999999998</v>
      </c>
      <c r="AK175" s="156">
        <f t="shared" si="228"/>
        <v>17.778435215999998</v>
      </c>
      <c r="AL175" s="156">
        <f t="shared" si="229"/>
        <v>18.578464800719999</v>
      </c>
      <c r="AM175" s="156">
        <f t="shared" si="230"/>
        <v>19.321603392748798</v>
      </c>
      <c r="AN175" s="4"/>
      <c r="AO175" s="4"/>
    </row>
    <row r="176" spans="1:41" s="35" customFormat="1" ht="17.25" customHeight="1">
      <c r="A176" s="181" t="s">
        <v>344</v>
      </c>
      <c r="B176" s="182" t="s">
        <v>266</v>
      </c>
      <c r="C176" s="152"/>
      <c r="D176" s="155"/>
      <c r="E176" s="155"/>
      <c r="F176" s="155"/>
      <c r="G176" s="155"/>
      <c r="H176" s="155"/>
      <c r="I176" s="155"/>
      <c r="J176" s="155"/>
      <c r="K176" s="155">
        <v>0</v>
      </c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A176" s="155"/>
      <c r="AB176" s="156"/>
      <c r="AC176" s="156"/>
      <c r="AD176" s="156"/>
      <c r="AE176" s="207"/>
      <c r="AF176" s="207"/>
      <c r="AG176" s="207"/>
      <c r="AH176" s="156"/>
      <c r="AI176" s="156"/>
      <c r="AJ176" s="156"/>
      <c r="AK176" s="156"/>
      <c r="AL176" s="156"/>
      <c r="AM176" s="156"/>
      <c r="AN176" s="4"/>
      <c r="AO176" s="4"/>
    </row>
    <row r="177" spans="1:41" s="35" customFormat="1" ht="17.25" customHeight="1">
      <c r="A177" s="181" t="s">
        <v>345</v>
      </c>
      <c r="B177" s="182" t="s">
        <v>197</v>
      </c>
      <c r="C177" s="152"/>
      <c r="D177" s="155"/>
      <c r="E177" s="155"/>
      <c r="F177" s="155"/>
      <c r="G177" s="155"/>
      <c r="H177" s="155"/>
      <c r="I177" s="155"/>
      <c r="J177" s="155"/>
      <c r="K177" s="155">
        <v>0</v>
      </c>
      <c r="L177" s="155"/>
      <c r="M177" s="155"/>
      <c r="N177" s="155"/>
      <c r="O177" s="155"/>
      <c r="P177" s="155"/>
      <c r="Q177" s="155">
        <v>0</v>
      </c>
      <c r="R177" s="155"/>
      <c r="S177" s="155"/>
      <c r="T177" s="155"/>
      <c r="U177" s="155"/>
      <c r="V177" s="155"/>
      <c r="W177" s="155"/>
      <c r="X177" s="155">
        <v>0</v>
      </c>
      <c r="Y177" s="155">
        <v>0</v>
      </c>
      <c r="Z177" s="155">
        <v>0</v>
      </c>
      <c r="AA177" s="155">
        <v>0</v>
      </c>
      <c r="AB177" s="156"/>
      <c r="AC177" s="156"/>
      <c r="AD177" s="156"/>
      <c r="AE177" s="207"/>
      <c r="AF177" s="207"/>
      <c r="AG177" s="207"/>
      <c r="AH177" s="156"/>
      <c r="AI177" s="156"/>
      <c r="AJ177" s="156"/>
      <c r="AK177" s="156"/>
      <c r="AL177" s="156"/>
      <c r="AM177" s="156"/>
      <c r="AN177" s="4"/>
      <c r="AO177" s="4"/>
    </row>
    <row r="178" spans="1:41" s="35" customFormat="1" ht="17.25" customHeight="1">
      <c r="A178" s="181" t="s">
        <v>346</v>
      </c>
      <c r="B178" s="182"/>
      <c r="C178" s="152"/>
      <c r="D178" s="155"/>
      <c r="E178" s="155"/>
      <c r="F178" s="155"/>
      <c r="G178" s="155"/>
      <c r="H178" s="155"/>
      <c r="I178" s="155"/>
      <c r="J178" s="155">
        <v>0.5</v>
      </c>
      <c r="K178" s="155">
        <v>0.89500000000000002</v>
      </c>
      <c r="L178" s="155">
        <f t="shared" si="231"/>
        <v>0.96391499999999997</v>
      </c>
      <c r="M178" s="155">
        <f t="shared" si="232"/>
        <v>1.0159664100000001</v>
      </c>
      <c r="N178" s="155">
        <f t="shared" si="233"/>
        <v>1.0647327976800001</v>
      </c>
      <c r="O178" s="155">
        <f t="shared" si="234"/>
        <v>1.1073221095872001</v>
      </c>
      <c r="P178" s="155">
        <v>0.2</v>
      </c>
      <c r="Q178" s="155">
        <v>0.28999999999999998</v>
      </c>
      <c r="R178" s="155">
        <f>Q178*1.077</f>
        <v>0.31232999999999994</v>
      </c>
      <c r="S178" s="155">
        <f>R178*1.054</f>
        <v>0.32919581999999997</v>
      </c>
      <c r="T178" s="155">
        <f t="shared" ref="T178" si="237">S178*1.048</f>
        <v>0.34499721936</v>
      </c>
      <c r="U178" s="155">
        <f>T178*1.04</f>
        <v>0.35879710813440002</v>
      </c>
      <c r="V178" s="155">
        <v>2</v>
      </c>
      <c r="W178" s="155">
        <v>2</v>
      </c>
      <c r="X178" s="155">
        <v>2</v>
      </c>
      <c r="Y178" s="155">
        <v>2</v>
      </c>
      <c r="Z178" s="155">
        <v>2</v>
      </c>
      <c r="AA178" s="155">
        <v>2</v>
      </c>
      <c r="AB178" s="156">
        <f t="shared" si="236"/>
        <v>7916.666666666667</v>
      </c>
      <c r="AC178" s="156">
        <f t="shared" si="236"/>
        <v>8333.3333333333339</v>
      </c>
      <c r="AD178" s="156">
        <f t="shared" si="236"/>
        <v>8875</v>
      </c>
      <c r="AE178" s="207">
        <f t="shared" si="194"/>
        <v>9309.875</v>
      </c>
      <c r="AF178" s="207">
        <f t="shared" si="195"/>
        <v>9728.8193749999991</v>
      </c>
      <c r="AG178" s="207">
        <f t="shared" si="196"/>
        <v>10117.97215</v>
      </c>
      <c r="AH178" s="156">
        <v>0.19</v>
      </c>
      <c r="AI178" s="156">
        <v>0.2</v>
      </c>
      <c r="AJ178" s="156">
        <f t="shared" ref="AJ178" si="238">AI178*1.065</f>
        <v>0.21299999999999999</v>
      </c>
      <c r="AK178" s="156">
        <f t="shared" ref="AK178" si="239">AE178*Y178*12/1000000</f>
        <v>0.223437</v>
      </c>
      <c r="AL178" s="156">
        <f t="shared" ref="AL178" si="240">AF178*Z178*12/1000000</f>
        <v>0.23349166499999999</v>
      </c>
      <c r="AM178" s="156">
        <f t="shared" ref="AM178" si="241">AG178*AA178*12/1000000</f>
        <v>0.24283133159999998</v>
      </c>
      <c r="AN178" s="4"/>
      <c r="AO178" s="4"/>
    </row>
    <row r="179" spans="1:41" s="35" customFormat="1" ht="17.25" customHeight="1">
      <c r="A179" s="181" t="s">
        <v>347</v>
      </c>
      <c r="B179" s="182" t="s">
        <v>266</v>
      </c>
      <c r="C179" s="152"/>
      <c r="D179" s="155"/>
      <c r="E179" s="155"/>
      <c r="F179" s="155"/>
      <c r="G179" s="155"/>
      <c r="H179" s="155"/>
      <c r="I179" s="155"/>
      <c r="J179" s="155">
        <v>2.4</v>
      </c>
      <c r="K179" s="155">
        <v>0</v>
      </c>
      <c r="L179" s="155"/>
      <c r="M179" s="155"/>
      <c r="N179" s="155"/>
      <c r="O179" s="155"/>
      <c r="P179" s="155">
        <v>0.09</v>
      </c>
      <c r="Q179" s="155"/>
      <c r="R179" s="155"/>
      <c r="S179" s="155"/>
      <c r="T179" s="155"/>
      <c r="U179" s="155"/>
      <c r="V179" s="155">
        <v>2</v>
      </c>
      <c r="W179" s="155"/>
      <c r="X179" s="155"/>
      <c r="Y179" s="155"/>
      <c r="Z179" s="155"/>
      <c r="AA179" s="155"/>
      <c r="AB179" s="156">
        <f t="shared" si="236"/>
        <v>10000</v>
      </c>
      <c r="AC179" s="156"/>
      <c r="AD179" s="156"/>
      <c r="AE179" s="207"/>
      <c r="AF179" s="207"/>
      <c r="AG179" s="207"/>
      <c r="AH179" s="156">
        <v>0.24</v>
      </c>
      <c r="AI179" s="156"/>
      <c r="AJ179" s="156"/>
      <c r="AK179" s="156"/>
      <c r="AL179" s="156"/>
      <c r="AM179" s="156"/>
      <c r="AN179" s="4"/>
      <c r="AO179" s="4"/>
    </row>
    <row r="180" spans="1:41" s="35" customFormat="1" ht="18" customHeight="1">
      <c r="A180" s="181" t="s">
        <v>255</v>
      </c>
      <c r="B180" s="182"/>
      <c r="C180" s="152"/>
      <c r="D180" s="155"/>
      <c r="E180" s="155"/>
      <c r="F180" s="155"/>
      <c r="G180" s="155"/>
      <c r="H180" s="155"/>
      <c r="I180" s="155"/>
      <c r="J180" s="155">
        <v>15.3</v>
      </c>
      <c r="K180" s="155">
        <v>18.030999999999999</v>
      </c>
      <c r="L180" s="155">
        <f t="shared" si="231"/>
        <v>19.419386999999997</v>
      </c>
      <c r="M180" s="155">
        <f t="shared" si="232"/>
        <v>20.468033897999998</v>
      </c>
      <c r="N180" s="155">
        <f t="shared" si="233"/>
        <v>21.450499525104</v>
      </c>
      <c r="O180" s="155">
        <f t="shared" si="234"/>
        <v>22.308519506108162</v>
      </c>
      <c r="P180" s="155">
        <v>0.28999999999999998</v>
      </c>
      <c r="Q180" s="155">
        <v>0.30599999999999999</v>
      </c>
      <c r="R180" s="155">
        <f>Q180*1.077</f>
        <v>0.32956199999999997</v>
      </c>
      <c r="S180" s="155">
        <f>R180*1.054</f>
        <v>0.34735834799999998</v>
      </c>
      <c r="T180" s="155">
        <f t="shared" ref="T180:T181" si="242">S180*1.048</f>
        <v>0.36403154870400001</v>
      </c>
      <c r="U180" s="155">
        <f>T180*1.04</f>
        <v>0.37859281065215999</v>
      </c>
      <c r="V180" s="155">
        <v>6</v>
      </c>
      <c r="W180" s="155">
        <v>3</v>
      </c>
      <c r="X180" s="155">
        <v>3</v>
      </c>
      <c r="Y180" s="155">
        <v>3</v>
      </c>
      <c r="Z180" s="155">
        <v>3</v>
      </c>
      <c r="AA180" s="155">
        <v>3</v>
      </c>
      <c r="AB180" s="156">
        <f t="shared" si="236"/>
        <v>4166.666666666667</v>
      </c>
      <c r="AC180" s="156">
        <f t="shared" si="236"/>
        <v>10525</v>
      </c>
      <c r="AD180" s="156">
        <f t="shared" si="236"/>
        <v>11209.125</v>
      </c>
      <c r="AE180" s="207">
        <f t="shared" si="194"/>
        <v>11758.372125</v>
      </c>
      <c r="AF180" s="207">
        <f t="shared" si="195"/>
        <v>12287.498870624999</v>
      </c>
      <c r="AG180" s="207">
        <f t="shared" si="196"/>
        <v>12778.998825449999</v>
      </c>
      <c r="AH180" s="156">
        <v>0.3</v>
      </c>
      <c r="AI180" s="156">
        <v>0.37890000000000001</v>
      </c>
      <c r="AJ180" s="156">
        <f t="shared" ref="AJ180:AJ181" si="243">AI180*1.065</f>
        <v>0.40352850000000001</v>
      </c>
      <c r="AK180" s="156">
        <f t="shared" ref="AK180:AK181" si="244">AE180*Y180*12/1000000</f>
        <v>0.42330139649999998</v>
      </c>
      <c r="AL180" s="156">
        <f t="shared" ref="AL180:AL181" si="245">AF180*Z180*12/1000000</f>
        <v>0.44234995934249999</v>
      </c>
      <c r="AM180" s="156">
        <f t="shared" ref="AM180:AM181" si="246">AG180*AA180*12/1000000</f>
        <v>0.46004395771619994</v>
      </c>
      <c r="AN180" s="4"/>
      <c r="AO180" s="4"/>
    </row>
    <row r="181" spans="1:41" s="35" customFormat="1" ht="16.5" customHeight="1">
      <c r="A181" s="181" t="s">
        <v>348</v>
      </c>
      <c r="B181" s="182"/>
      <c r="C181" s="152"/>
      <c r="D181" s="155"/>
      <c r="E181" s="155"/>
      <c r="F181" s="155"/>
      <c r="G181" s="155"/>
      <c r="H181" s="155"/>
      <c r="I181" s="155"/>
      <c r="J181" s="155">
        <v>1.3</v>
      </c>
      <c r="K181" s="155">
        <v>2.1419999999999999</v>
      </c>
      <c r="L181" s="155">
        <f t="shared" si="231"/>
        <v>2.3069339999999996</v>
      </c>
      <c r="M181" s="155">
        <f t="shared" si="232"/>
        <v>2.4315084359999997</v>
      </c>
      <c r="N181" s="155">
        <f t="shared" si="233"/>
        <v>2.5482208409279998</v>
      </c>
      <c r="O181" s="155">
        <f t="shared" si="234"/>
        <v>2.6501496745651201</v>
      </c>
      <c r="P181" s="155">
        <v>0.09</v>
      </c>
      <c r="Q181" s="155">
        <v>0.317</v>
      </c>
      <c r="R181" s="155">
        <f>Q181*1.077</f>
        <v>0.34140900000000002</v>
      </c>
      <c r="S181" s="155">
        <f>R181*1.054</f>
        <v>0.35984508600000004</v>
      </c>
      <c r="T181" s="155">
        <f t="shared" si="242"/>
        <v>0.37711765012800003</v>
      </c>
      <c r="U181" s="155">
        <f>T181*1.04</f>
        <v>0.39220235613312004</v>
      </c>
      <c r="V181" s="155">
        <v>4</v>
      </c>
      <c r="W181" s="155">
        <v>4</v>
      </c>
      <c r="X181" s="155">
        <v>3</v>
      </c>
      <c r="Y181" s="155">
        <v>3</v>
      </c>
      <c r="Z181" s="155">
        <v>3</v>
      </c>
      <c r="AA181" s="155">
        <v>3</v>
      </c>
      <c r="AB181" s="156">
        <f t="shared" si="236"/>
        <v>5833.333333333333</v>
      </c>
      <c r="AC181" s="156">
        <f t="shared" si="236"/>
        <v>7375</v>
      </c>
      <c r="AD181" s="156">
        <f t="shared" si="236"/>
        <v>10472.499999999998</v>
      </c>
      <c r="AE181" s="207">
        <f t="shared" si="194"/>
        <v>10985.652499999997</v>
      </c>
      <c r="AF181" s="207">
        <f t="shared" si="195"/>
        <v>11480.006862499995</v>
      </c>
      <c r="AG181" s="207">
        <f t="shared" si="196"/>
        <v>11939.207136999996</v>
      </c>
      <c r="AH181" s="156">
        <v>0.28000000000000003</v>
      </c>
      <c r="AI181" s="156">
        <v>0.35399999999999998</v>
      </c>
      <c r="AJ181" s="156">
        <f t="shared" si="243"/>
        <v>0.37700999999999996</v>
      </c>
      <c r="AK181" s="156">
        <f t="shared" si="244"/>
        <v>0.39548348999999988</v>
      </c>
      <c r="AL181" s="156">
        <f t="shared" si="245"/>
        <v>0.41328024704999977</v>
      </c>
      <c r="AM181" s="156">
        <f t="shared" si="246"/>
        <v>0.42981145693199985</v>
      </c>
      <c r="AN181" s="4"/>
      <c r="AO181" s="4"/>
    </row>
    <row r="182" spans="1:41" s="35" customFormat="1" ht="18.75" customHeight="1">
      <c r="A182" s="181" t="s">
        <v>349</v>
      </c>
      <c r="B182" s="182" t="s">
        <v>266</v>
      </c>
      <c r="C182" s="152"/>
      <c r="D182" s="155"/>
      <c r="E182" s="155"/>
      <c r="F182" s="155"/>
      <c r="G182" s="155"/>
      <c r="H182" s="155"/>
      <c r="I182" s="155"/>
      <c r="J182" s="155"/>
      <c r="K182" s="155">
        <v>0</v>
      </c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6"/>
      <c r="AC182" s="156"/>
      <c r="AD182" s="156"/>
      <c r="AE182" s="207"/>
      <c r="AF182" s="207"/>
      <c r="AG182" s="207"/>
      <c r="AH182" s="156"/>
      <c r="AI182" s="156"/>
      <c r="AJ182" s="156"/>
      <c r="AK182" s="156"/>
      <c r="AL182" s="156"/>
      <c r="AM182" s="156"/>
      <c r="AN182" s="4"/>
      <c r="AO182" s="4"/>
    </row>
    <row r="183" spans="1:41" s="35" customFormat="1" ht="18.75" customHeight="1">
      <c r="A183" s="185" t="s">
        <v>350</v>
      </c>
      <c r="B183" s="184" t="s">
        <v>197</v>
      </c>
      <c r="C183" s="152"/>
      <c r="D183" s="155"/>
      <c r="E183" s="155"/>
      <c r="F183" s="155"/>
      <c r="G183" s="155"/>
      <c r="H183" s="155"/>
      <c r="I183" s="155"/>
      <c r="J183" s="155">
        <v>0</v>
      </c>
      <c r="K183" s="155">
        <v>0</v>
      </c>
      <c r="L183" s="155"/>
      <c r="M183" s="155"/>
      <c r="N183" s="155"/>
      <c r="O183" s="155"/>
      <c r="P183" s="155">
        <v>0</v>
      </c>
      <c r="Q183" s="155">
        <v>0</v>
      </c>
      <c r="R183" s="155"/>
      <c r="S183" s="155"/>
      <c r="T183" s="155"/>
      <c r="U183" s="155"/>
      <c r="V183" s="155">
        <v>0</v>
      </c>
      <c r="W183" s="155"/>
      <c r="X183" s="155"/>
      <c r="Y183" s="155"/>
      <c r="Z183" s="155"/>
      <c r="AA183" s="155"/>
      <c r="AB183" s="156"/>
      <c r="AC183" s="156"/>
      <c r="AD183" s="156"/>
      <c r="AE183" s="207"/>
      <c r="AF183" s="207"/>
      <c r="AG183" s="207"/>
      <c r="AH183" s="156"/>
      <c r="AI183" s="156"/>
      <c r="AJ183" s="156"/>
      <c r="AK183" s="156"/>
      <c r="AL183" s="156"/>
      <c r="AM183" s="156"/>
      <c r="AN183" s="4"/>
      <c r="AO183" s="4"/>
    </row>
    <row r="184" spans="1:41" s="35" customFormat="1" ht="17.25" customHeight="1">
      <c r="A184" s="185" t="s">
        <v>351</v>
      </c>
      <c r="B184" s="184"/>
      <c r="C184" s="152"/>
      <c r="D184" s="155"/>
      <c r="E184" s="155"/>
      <c r="F184" s="155"/>
      <c r="G184" s="155"/>
      <c r="H184" s="155"/>
      <c r="I184" s="155"/>
      <c r="J184" s="155">
        <v>5.5</v>
      </c>
      <c r="K184" s="155">
        <v>8.9540000000000006</v>
      </c>
      <c r="L184" s="155">
        <f t="shared" si="231"/>
        <v>9.6434580000000008</v>
      </c>
      <c r="M184" s="155">
        <f t="shared" si="232"/>
        <v>10.164204732000002</v>
      </c>
      <c r="N184" s="155">
        <f t="shared" si="233"/>
        <v>10.652086559136002</v>
      </c>
      <c r="O184" s="155">
        <f t="shared" si="234"/>
        <v>11.078170021501442</v>
      </c>
      <c r="P184" s="155">
        <v>0.27</v>
      </c>
      <c r="Q184" s="155">
        <v>0.38400000000000001</v>
      </c>
      <c r="R184" s="155">
        <f>Q184*1.077</f>
        <v>0.41356799999999999</v>
      </c>
      <c r="S184" s="155">
        <f>R184*1.054</f>
        <v>0.43590067199999999</v>
      </c>
      <c r="T184" s="155">
        <f t="shared" ref="T184:T185" si="247">S184*1.048</f>
        <v>0.456823904256</v>
      </c>
      <c r="U184" s="155">
        <f>T184*1.04</f>
        <v>0.47509686042624</v>
      </c>
      <c r="V184" s="155">
        <v>8</v>
      </c>
      <c r="W184" s="155">
        <v>8</v>
      </c>
      <c r="X184" s="155">
        <v>3</v>
      </c>
      <c r="Y184" s="155">
        <v>3</v>
      </c>
      <c r="Z184" s="155">
        <v>3</v>
      </c>
      <c r="AA184" s="155">
        <v>3</v>
      </c>
      <c r="AB184" s="156">
        <f t="shared" si="236"/>
        <v>6770.833333333333</v>
      </c>
      <c r="AC184" s="156">
        <f t="shared" si="236"/>
        <v>5416.666666666667</v>
      </c>
      <c r="AD184" s="156">
        <f t="shared" si="236"/>
        <v>15383.333333333334</v>
      </c>
      <c r="AE184" s="207">
        <f t="shared" si="194"/>
        <v>16137.116666666667</v>
      </c>
      <c r="AF184" s="207">
        <f t="shared" si="195"/>
        <v>16863.286916666664</v>
      </c>
      <c r="AG184" s="207">
        <f t="shared" si="196"/>
        <v>17537.818393333331</v>
      </c>
      <c r="AH184" s="156">
        <v>0.65</v>
      </c>
      <c r="AI184" s="156">
        <v>0.52</v>
      </c>
      <c r="AJ184" s="156">
        <f t="shared" ref="AJ184:AJ185" si="248">AI184*1.065</f>
        <v>0.55379999999999996</v>
      </c>
      <c r="AK184" s="156">
        <f t="shared" ref="AK184:AK185" si="249">AE184*Y184*12/1000000</f>
        <v>0.5809361999999999</v>
      </c>
      <c r="AL184" s="156">
        <f t="shared" ref="AL184:AL185" si="250">AF184*Z184*12/1000000</f>
        <v>0.60707832899999992</v>
      </c>
      <c r="AM184" s="156">
        <f t="shared" ref="AM184:AM185" si="251">AG184*AA184*12/1000000</f>
        <v>0.63136146215999989</v>
      </c>
      <c r="AN184" s="4"/>
      <c r="AO184" s="4"/>
    </row>
    <row r="185" spans="1:41" s="35" customFormat="1" ht="18" customHeight="1">
      <c r="A185" s="183" t="s">
        <v>352</v>
      </c>
      <c r="B185" s="184"/>
      <c r="C185" s="152"/>
      <c r="D185" s="155"/>
      <c r="E185" s="155"/>
      <c r="F185" s="155"/>
      <c r="G185" s="155"/>
      <c r="H185" s="155"/>
      <c r="I185" s="155"/>
      <c r="J185" s="155">
        <v>15</v>
      </c>
      <c r="K185" s="155">
        <v>15.016</v>
      </c>
      <c r="L185" s="155">
        <f t="shared" si="231"/>
        <v>16.172232000000001</v>
      </c>
      <c r="M185" s="155">
        <f t="shared" si="232"/>
        <v>17.045532528000003</v>
      </c>
      <c r="N185" s="155">
        <f t="shared" si="233"/>
        <v>17.863718089344005</v>
      </c>
      <c r="O185" s="155">
        <f t="shared" si="234"/>
        <v>18.578266812917764</v>
      </c>
      <c r="P185" s="155">
        <v>0.79</v>
      </c>
      <c r="Q185" s="155">
        <v>0.79</v>
      </c>
      <c r="R185" s="155">
        <f>Q185*1.077</f>
        <v>0.85082999999999998</v>
      </c>
      <c r="S185" s="155">
        <f>R185*1.054</f>
        <v>0.89677481999999997</v>
      </c>
      <c r="T185" s="155">
        <f t="shared" si="247"/>
        <v>0.93982001136000004</v>
      </c>
      <c r="U185" s="155">
        <f>T185*1.04</f>
        <v>0.9774128118144001</v>
      </c>
      <c r="V185" s="155">
        <v>2</v>
      </c>
      <c r="W185" s="155">
        <v>2</v>
      </c>
      <c r="X185" s="155">
        <v>2</v>
      </c>
      <c r="Y185" s="155">
        <v>2</v>
      </c>
      <c r="Z185" s="155">
        <v>2</v>
      </c>
      <c r="AA185" s="155">
        <v>2</v>
      </c>
      <c r="AB185" s="156">
        <f t="shared" si="236"/>
        <v>13333.333333333334</v>
      </c>
      <c r="AC185" s="156">
        <f t="shared" si="236"/>
        <v>14229.166666666666</v>
      </c>
      <c r="AD185" s="156">
        <f t="shared" si="236"/>
        <v>15154.0625</v>
      </c>
      <c r="AE185" s="207">
        <f t="shared" si="194"/>
        <v>15896.611562499998</v>
      </c>
      <c r="AF185" s="207">
        <f t="shared" si="195"/>
        <v>16611.959082812496</v>
      </c>
      <c r="AG185" s="207">
        <f t="shared" si="196"/>
        <v>17276.437446124997</v>
      </c>
      <c r="AH185" s="156">
        <v>0.32</v>
      </c>
      <c r="AI185" s="156">
        <v>0.34150000000000003</v>
      </c>
      <c r="AJ185" s="156">
        <f t="shared" si="248"/>
        <v>0.36369750000000001</v>
      </c>
      <c r="AK185" s="156">
        <f t="shared" si="249"/>
        <v>0.38151867750000001</v>
      </c>
      <c r="AL185" s="156">
        <f t="shared" si="250"/>
        <v>0.39868701798749995</v>
      </c>
      <c r="AM185" s="156">
        <f t="shared" si="251"/>
        <v>0.41463449870699992</v>
      </c>
      <c r="AN185" s="4"/>
      <c r="AO185" s="4"/>
    </row>
    <row r="186" spans="1:41" s="35" customFormat="1" ht="17.25" customHeight="1">
      <c r="A186" s="183" t="s">
        <v>353</v>
      </c>
      <c r="B186" s="184" t="s">
        <v>197</v>
      </c>
      <c r="C186" s="152"/>
      <c r="D186" s="155"/>
      <c r="E186" s="155"/>
      <c r="F186" s="155"/>
      <c r="G186" s="155"/>
      <c r="H186" s="155"/>
      <c r="I186" s="155"/>
      <c r="J186" s="155">
        <v>2.36</v>
      </c>
      <c r="K186" s="155">
        <v>0</v>
      </c>
      <c r="L186" s="155"/>
      <c r="M186" s="155"/>
      <c r="N186" s="155"/>
      <c r="O186" s="155"/>
      <c r="P186" s="155">
        <v>-0.3</v>
      </c>
      <c r="Q186" s="155"/>
      <c r="R186" s="155"/>
      <c r="S186" s="155"/>
      <c r="T186" s="155"/>
      <c r="U186" s="155"/>
      <c r="V186" s="155">
        <v>12</v>
      </c>
      <c r="W186" s="155"/>
      <c r="X186" s="155"/>
      <c r="Y186" s="155"/>
      <c r="Z186" s="155"/>
      <c r="AA186" s="155"/>
      <c r="AB186" s="156">
        <f t="shared" si="236"/>
        <v>5694.4444444444443</v>
      </c>
      <c r="AC186" s="156"/>
      <c r="AD186" s="156"/>
      <c r="AE186" s="207"/>
      <c r="AF186" s="207"/>
      <c r="AG186" s="207"/>
      <c r="AH186" s="156">
        <v>0.82</v>
      </c>
      <c r="AI186" s="156"/>
      <c r="AJ186" s="156"/>
      <c r="AK186" s="156"/>
      <c r="AL186" s="156"/>
      <c r="AM186" s="156"/>
      <c r="AN186" s="4"/>
      <c r="AO186" s="4"/>
    </row>
    <row r="187" spans="1:41" s="35" customFormat="1" ht="16.5" customHeight="1">
      <c r="A187" s="183" t="s">
        <v>354</v>
      </c>
      <c r="B187" s="184"/>
      <c r="C187" s="152"/>
      <c r="D187" s="155"/>
      <c r="E187" s="155"/>
      <c r="F187" s="155"/>
      <c r="G187" s="155"/>
      <c r="H187" s="155"/>
      <c r="I187" s="155"/>
      <c r="J187" s="155">
        <v>4.8</v>
      </c>
      <c r="K187" s="155">
        <v>0</v>
      </c>
      <c r="L187" s="155"/>
      <c r="M187" s="155"/>
      <c r="N187" s="155"/>
      <c r="O187" s="155"/>
      <c r="P187" s="155">
        <v>0.6</v>
      </c>
      <c r="Q187" s="155"/>
      <c r="R187" s="155"/>
      <c r="S187" s="155"/>
      <c r="T187" s="155"/>
      <c r="U187" s="155"/>
      <c r="V187" s="155">
        <v>1</v>
      </c>
      <c r="W187" s="155"/>
      <c r="X187" s="155"/>
      <c r="Y187" s="155"/>
      <c r="Z187" s="155"/>
      <c r="AA187" s="155"/>
      <c r="AB187" s="156">
        <f t="shared" si="236"/>
        <v>11666.666666666666</v>
      </c>
      <c r="AC187" s="156"/>
      <c r="AD187" s="156"/>
      <c r="AE187" s="207"/>
      <c r="AF187" s="207"/>
      <c r="AG187" s="207"/>
      <c r="AH187" s="156">
        <v>0.14000000000000001</v>
      </c>
      <c r="AI187" s="156"/>
      <c r="AJ187" s="156"/>
      <c r="AK187" s="156"/>
      <c r="AL187" s="156"/>
      <c r="AM187" s="156"/>
      <c r="AN187" s="4"/>
      <c r="AO187" s="4"/>
    </row>
    <row r="188" spans="1:41" s="35" customFormat="1" ht="15.75">
      <c r="A188" s="183" t="s">
        <v>355</v>
      </c>
      <c r="B188" s="184"/>
      <c r="C188" s="152"/>
      <c r="D188" s="155"/>
      <c r="E188" s="155"/>
      <c r="F188" s="155"/>
      <c r="G188" s="155"/>
      <c r="H188" s="155"/>
      <c r="I188" s="155"/>
      <c r="J188" s="155">
        <v>91.6</v>
      </c>
      <c r="K188" s="155">
        <v>143.17349999999999</v>
      </c>
      <c r="L188" s="155">
        <f t="shared" si="231"/>
        <v>154.19785949999999</v>
      </c>
      <c r="M188" s="155">
        <f t="shared" si="232"/>
        <v>162.524543913</v>
      </c>
      <c r="N188" s="155">
        <f t="shared" si="233"/>
        <v>170.325722020824</v>
      </c>
      <c r="O188" s="155">
        <f t="shared" si="234"/>
        <v>177.13875090165698</v>
      </c>
      <c r="P188" s="155">
        <v>6.9</v>
      </c>
      <c r="Q188" s="155">
        <v>2.7995999999999999</v>
      </c>
      <c r="R188" s="155">
        <f>Q188*1.077</f>
        <v>3.0151691999999999</v>
      </c>
      <c r="S188" s="155">
        <f>R188*1.054</f>
        <v>3.1779883367999999</v>
      </c>
      <c r="T188" s="155">
        <f t="shared" ref="T188" si="252">S188*1.048</f>
        <v>3.3305317769664002</v>
      </c>
      <c r="U188" s="155">
        <f>T188*1.04</f>
        <v>3.4637530480450565</v>
      </c>
      <c r="V188" s="155">
        <v>23</v>
      </c>
      <c r="W188" s="155">
        <v>25</v>
      </c>
      <c r="X188" s="155">
        <v>24</v>
      </c>
      <c r="Y188" s="155">
        <v>24</v>
      </c>
      <c r="Z188" s="155">
        <v>24</v>
      </c>
      <c r="AA188" s="155">
        <v>24</v>
      </c>
      <c r="AB188" s="156">
        <f t="shared" si="236"/>
        <v>29347.826086956524</v>
      </c>
      <c r="AC188" s="156">
        <f t="shared" si="236"/>
        <v>31874.333333333332</v>
      </c>
      <c r="AD188" s="156">
        <f t="shared" si="236"/>
        <v>35360.588541666664</v>
      </c>
      <c r="AE188" s="207">
        <f t="shared" si="194"/>
        <v>37093.257380208328</v>
      </c>
      <c r="AF188" s="207">
        <f t="shared" si="195"/>
        <v>38762.453962317697</v>
      </c>
      <c r="AG188" s="207">
        <f t="shared" si="196"/>
        <v>40312.952120810405</v>
      </c>
      <c r="AH188" s="156">
        <v>8.1</v>
      </c>
      <c r="AI188" s="156">
        <v>9.5623000000000005</v>
      </c>
      <c r="AJ188" s="156">
        <f t="shared" ref="AJ188:AJ189" si="253">AI188*1.065</f>
        <v>10.183849499999999</v>
      </c>
      <c r="AK188" s="156">
        <f t="shared" ref="AK188:AK189" si="254">AE188*Y188*12/1000000</f>
        <v>10.682858125499999</v>
      </c>
      <c r="AL188" s="156">
        <f t="shared" ref="AL188:AL189" si="255">AF188*Z188*12/1000000</f>
        <v>11.163586741147496</v>
      </c>
      <c r="AM188" s="156">
        <f t="shared" ref="AM188:AM189" si="256">AG188*AA188*12/1000000</f>
        <v>11.610130210793399</v>
      </c>
      <c r="AN188" s="4"/>
      <c r="AO188" s="4"/>
    </row>
    <row r="189" spans="1:41" s="35" customFormat="1" ht="15.75">
      <c r="A189" s="189" t="s">
        <v>74</v>
      </c>
      <c r="B189" s="184"/>
      <c r="C189" s="152"/>
      <c r="D189" s="155"/>
      <c r="E189" s="155"/>
      <c r="F189" s="155"/>
      <c r="G189" s="155"/>
      <c r="H189" s="155"/>
      <c r="I189" s="155"/>
      <c r="J189" s="155"/>
      <c r="K189" s="155">
        <v>0</v>
      </c>
      <c r="L189" s="155"/>
      <c r="M189" s="155"/>
      <c r="N189" s="155"/>
      <c r="O189" s="155"/>
      <c r="P189" s="155"/>
      <c r="Q189" s="190"/>
      <c r="R189" s="155"/>
      <c r="S189" s="155"/>
      <c r="T189" s="155"/>
      <c r="U189" s="155"/>
      <c r="V189" s="155">
        <v>166</v>
      </c>
      <c r="W189" s="155">
        <v>187</v>
      </c>
      <c r="X189" s="155">
        <v>158</v>
      </c>
      <c r="Y189" s="155">
        <v>165</v>
      </c>
      <c r="Z189" s="155">
        <v>168</v>
      </c>
      <c r="AA189" s="155">
        <v>171</v>
      </c>
      <c r="AB189" s="156">
        <f t="shared" si="236"/>
        <v>21997.991967871483</v>
      </c>
      <c r="AC189" s="156">
        <f t="shared" si="236"/>
        <v>23344.786096256681</v>
      </c>
      <c r="AD189" s="156">
        <f t="shared" si="236"/>
        <v>29425.511867088604</v>
      </c>
      <c r="AE189" s="207">
        <f t="shared" si="194"/>
        <v>30867.361948575945</v>
      </c>
      <c r="AF189" s="207">
        <f t="shared" si="195"/>
        <v>32256.393236261862</v>
      </c>
      <c r="AG189" s="207">
        <f t="shared" si="196"/>
        <v>33546.648965712338</v>
      </c>
      <c r="AH189" s="156">
        <v>43.82</v>
      </c>
      <c r="AI189" s="156">
        <v>52.3857</v>
      </c>
      <c r="AJ189" s="156">
        <f t="shared" si="253"/>
        <v>55.790770499999994</v>
      </c>
      <c r="AK189" s="156">
        <f t="shared" si="254"/>
        <v>61.117376658180369</v>
      </c>
      <c r="AL189" s="156">
        <f t="shared" si="255"/>
        <v>65.028888764303915</v>
      </c>
      <c r="AM189" s="156">
        <f t="shared" si="256"/>
        <v>68.837723677641719</v>
      </c>
      <c r="AN189" s="4"/>
      <c r="AO189" s="4"/>
    </row>
    <row r="190" spans="1:41" s="35" customFormat="1" ht="15.75">
      <c r="A190" s="110" t="s">
        <v>15</v>
      </c>
      <c r="B190" s="124"/>
      <c r="C190" s="152"/>
      <c r="D190" s="162">
        <f t="shared" ref="D190" si="257">SUM(D192:D230)</f>
        <v>0</v>
      </c>
      <c r="E190" s="162">
        <f t="shared" ref="E190:AM190" si="258">SUM(E192:E230)</f>
        <v>0</v>
      </c>
      <c r="F190" s="162">
        <f t="shared" si="258"/>
        <v>0</v>
      </c>
      <c r="G190" s="162">
        <f t="shared" si="258"/>
        <v>0</v>
      </c>
      <c r="H190" s="162">
        <f t="shared" si="258"/>
        <v>0</v>
      </c>
      <c r="I190" s="162">
        <f t="shared" si="258"/>
        <v>0</v>
      </c>
      <c r="J190" s="162">
        <f t="shared" si="258"/>
        <v>277.39999999999998</v>
      </c>
      <c r="K190" s="162">
        <f t="shared" si="258"/>
        <v>244.7621</v>
      </c>
      <c r="L190" s="162">
        <f t="shared" si="258"/>
        <v>256.51068079999988</v>
      </c>
      <c r="M190" s="162">
        <f t="shared" si="258"/>
        <v>269.84923620160009</v>
      </c>
      <c r="N190" s="162">
        <f t="shared" si="258"/>
        <v>281.18290412206721</v>
      </c>
      <c r="O190" s="162">
        <f t="shared" si="258"/>
        <v>292.9925860951941</v>
      </c>
      <c r="P190" s="154">
        <f>SUM(P192:P196,P199,P202:P203,P205:P208,P210:P212,P216:P217,P219:P221,P223:P227)</f>
        <v>16.53</v>
      </c>
      <c r="Q190" s="154">
        <f>SUM(Q191:Q196,Q198:Q208,Q210:Q213,Q215:Q216,Q218:Q227)</f>
        <v>13.584399999999999</v>
      </c>
      <c r="R190" s="154">
        <f t="shared" ref="R190:U190" si="259">SUM(R191:R196,R198:R208,R210:R213,R215:R216,R218:R227)</f>
        <v>14.2322592</v>
      </c>
      <c r="S190" s="154">
        <f t="shared" si="259"/>
        <v>14.972336678400001</v>
      </c>
      <c r="T190" s="154">
        <f t="shared" si="259"/>
        <v>15.601174818892801</v>
      </c>
      <c r="U190" s="154">
        <f t="shared" si="259"/>
        <v>16.256424161286301</v>
      </c>
      <c r="V190" s="154">
        <f t="shared" si="258"/>
        <v>4153</v>
      </c>
      <c r="W190" s="154">
        <f t="shared" si="258"/>
        <v>4097</v>
      </c>
      <c r="X190" s="154">
        <f t="shared" si="258"/>
        <v>4016</v>
      </c>
      <c r="Y190" s="154">
        <f t="shared" si="258"/>
        <v>3967</v>
      </c>
      <c r="Z190" s="154">
        <f t="shared" si="258"/>
        <v>4253</v>
      </c>
      <c r="AA190" s="154">
        <f t="shared" si="258"/>
        <v>4251</v>
      </c>
      <c r="AB190" s="159">
        <f t="shared" si="236"/>
        <v>27476.121679107473</v>
      </c>
      <c r="AC190" s="159">
        <f t="shared" si="236"/>
        <v>25958.148238548532</v>
      </c>
      <c r="AD190" s="159">
        <f t="shared" si="236"/>
        <v>25504.740091716467</v>
      </c>
      <c r="AE190" s="159">
        <f t="shared" si="194"/>
        <v>26754.472356210572</v>
      </c>
      <c r="AF190" s="159">
        <f t="shared" si="195"/>
        <v>27958.423612240047</v>
      </c>
      <c r="AG190" s="159">
        <f t="shared" si="196"/>
        <v>29076.760556729649</v>
      </c>
      <c r="AH190" s="159">
        <f t="shared" ref="AH190" si="260">SUM(AH192:AH230)</f>
        <v>1369.3</v>
      </c>
      <c r="AI190" s="159">
        <f t="shared" si="258"/>
        <v>1276.2064</v>
      </c>
      <c r="AJ190" s="159">
        <f t="shared" si="258"/>
        <v>1229.1244345</v>
      </c>
      <c r="AK190" s="159">
        <f t="shared" si="258"/>
        <v>1273.2028349865786</v>
      </c>
      <c r="AL190" s="159">
        <f t="shared" si="258"/>
        <v>1428.994126107669</v>
      </c>
      <c r="AM190" s="159">
        <f t="shared" si="258"/>
        <v>1485.4375481443635</v>
      </c>
      <c r="AN190" s="4"/>
      <c r="AO190" s="4"/>
    </row>
    <row r="191" spans="1:41" s="35" customFormat="1" ht="15.75">
      <c r="A191" s="170" t="s">
        <v>95</v>
      </c>
      <c r="B191" s="164"/>
      <c r="C191" s="152"/>
      <c r="D191" s="106"/>
      <c r="E191" s="106"/>
      <c r="F191" s="106"/>
      <c r="G191" s="30"/>
      <c r="H191" s="30"/>
      <c r="I191" s="30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6"/>
      <c r="AC191" s="156"/>
      <c r="AD191" s="156"/>
      <c r="AE191" s="207"/>
      <c r="AF191" s="207"/>
      <c r="AG191" s="207"/>
      <c r="AH191" s="156"/>
      <c r="AI191" s="156"/>
      <c r="AJ191" s="156"/>
      <c r="AK191" s="156"/>
      <c r="AL191" s="156"/>
      <c r="AM191" s="156"/>
      <c r="AN191" s="4"/>
      <c r="AO191" s="4"/>
    </row>
    <row r="192" spans="1:41" s="35" customFormat="1" ht="15.75">
      <c r="A192" s="181" t="s">
        <v>356</v>
      </c>
      <c r="B192" s="182" t="s">
        <v>197</v>
      </c>
      <c r="C192" s="152"/>
      <c r="D192" s="106"/>
      <c r="E192" s="106"/>
      <c r="F192" s="106"/>
      <c r="G192" s="30"/>
      <c r="H192" s="30"/>
      <c r="I192" s="30"/>
      <c r="J192" s="155">
        <v>0</v>
      </c>
      <c r="K192" s="155">
        <v>0</v>
      </c>
      <c r="L192" s="155"/>
      <c r="M192" s="155"/>
      <c r="N192" s="155"/>
      <c r="O192" s="155"/>
      <c r="P192" s="155">
        <v>0</v>
      </c>
      <c r="Q192" s="155">
        <v>0</v>
      </c>
      <c r="R192" s="155"/>
      <c r="S192" s="155"/>
      <c r="T192" s="155"/>
      <c r="U192" s="155"/>
      <c r="V192" s="155">
        <v>0</v>
      </c>
      <c r="W192" s="155"/>
      <c r="X192" s="155">
        <v>0</v>
      </c>
      <c r="Y192" s="155">
        <v>0</v>
      </c>
      <c r="Z192" s="155">
        <v>0</v>
      </c>
      <c r="AA192" s="155">
        <v>0</v>
      </c>
      <c r="AB192" s="156"/>
      <c r="AC192" s="156"/>
      <c r="AD192" s="156"/>
      <c r="AE192" s="207"/>
      <c r="AF192" s="207"/>
      <c r="AG192" s="207"/>
      <c r="AH192" s="156"/>
      <c r="AI192" s="156"/>
      <c r="AJ192" s="156"/>
      <c r="AK192" s="156"/>
      <c r="AL192" s="156"/>
      <c r="AM192" s="156"/>
      <c r="AN192" s="4"/>
      <c r="AO192" s="4"/>
    </row>
    <row r="193" spans="1:41" s="35" customFormat="1" ht="15.75">
      <c r="A193" s="181" t="s">
        <v>357</v>
      </c>
      <c r="B193" s="182"/>
      <c r="C193" s="152"/>
      <c r="D193" s="191"/>
      <c r="E193" s="191"/>
      <c r="F193" s="191"/>
      <c r="G193" s="191"/>
      <c r="H193" s="191"/>
      <c r="I193" s="191"/>
      <c r="J193" s="155">
        <v>4.5999999999999996</v>
      </c>
      <c r="K193" s="155">
        <v>5.444</v>
      </c>
      <c r="L193" s="155">
        <f t="shared" ref="L193:L229" si="261">K193*1.048</f>
        <v>5.7053120000000002</v>
      </c>
      <c r="M193" s="155">
        <f t="shared" ref="M193:M229" si="262">L193*1.052</f>
        <v>6.0019882240000006</v>
      </c>
      <c r="N193" s="155">
        <f>M193*1.042</f>
        <v>6.2540717294080013</v>
      </c>
      <c r="O193" s="155">
        <f>N193*1.042</f>
        <v>6.5167427420431379</v>
      </c>
      <c r="P193" s="155">
        <v>0.17</v>
      </c>
      <c r="Q193" s="155">
        <v>0.20499999999999999</v>
      </c>
      <c r="R193" s="155">
        <f t="shared" ref="R193" si="263">Q193*1.048</f>
        <v>0.21484</v>
      </c>
      <c r="S193" s="155">
        <f t="shared" ref="S193" si="264">R193*1.052</f>
        <v>0.22601168000000002</v>
      </c>
      <c r="T193" s="155">
        <f t="shared" ref="T193" si="265">S193*1.042</f>
        <v>0.23550417056000003</v>
      </c>
      <c r="U193" s="155">
        <f>T193*1.042</f>
        <v>0.24539534572352004</v>
      </c>
      <c r="V193" s="155">
        <v>9</v>
      </c>
      <c r="W193" s="155">
        <v>7</v>
      </c>
      <c r="X193" s="155">
        <v>5</v>
      </c>
      <c r="Y193" s="155">
        <v>5</v>
      </c>
      <c r="Z193" s="155">
        <v>5</v>
      </c>
      <c r="AA193" s="155">
        <v>5</v>
      </c>
      <c r="AB193" s="156">
        <f t="shared" ref="AB193:AD208" si="266">(AH193*1000000/V193)/12</f>
        <v>5370.3703703703704</v>
      </c>
      <c r="AC193" s="156">
        <f t="shared" si="266"/>
        <v>5595.2380952380954</v>
      </c>
      <c r="AD193" s="156">
        <f t="shared" si="266"/>
        <v>8342.4999999999982</v>
      </c>
      <c r="AE193" s="207">
        <f t="shared" si="194"/>
        <v>8751.2824999999975</v>
      </c>
      <c r="AF193" s="207">
        <f t="shared" si="195"/>
        <v>9145.0902124999975</v>
      </c>
      <c r="AG193" s="207">
        <f t="shared" si="196"/>
        <v>9510.8938209999978</v>
      </c>
      <c r="AH193" s="156">
        <v>0.57999999999999996</v>
      </c>
      <c r="AI193" s="156">
        <v>0.47</v>
      </c>
      <c r="AJ193" s="156">
        <f t="shared" ref="AJ193:AJ229" si="267">AI193*1.065</f>
        <v>0.50054999999999994</v>
      </c>
      <c r="AK193" s="156">
        <f t="shared" ref="AK193" si="268">AE193*Y193*12/1000000</f>
        <v>0.52507694999999999</v>
      </c>
      <c r="AL193" s="156">
        <f t="shared" ref="AL193" si="269">AF193*Z193*12/1000000</f>
        <v>0.54870541274999995</v>
      </c>
      <c r="AM193" s="156">
        <f t="shared" ref="AM193" si="270">AG193*AA193*12/1000000</f>
        <v>0.57065362925999985</v>
      </c>
      <c r="AN193" s="4"/>
      <c r="AO193" s="4"/>
    </row>
    <row r="194" spans="1:41" s="35" customFormat="1" ht="15.75">
      <c r="A194" s="181" t="s">
        <v>358</v>
      </c>
      <c r="B194" s="182" t="s">
        <v>266</v>
      </c>
      <c r="C194" s="152"/>
      <c r="D194" s="191"/>
      <c r="E194" s="191"/>
      <c r="F194" s="191"/>
      <c r="G194" s="191"/>
      <c r="H194" s="191"/>
      <c r="I194" s="191"/>
      <c r="J194" s="155">
        <v>2.4</v>
      </c>
      <c r="K194" s="155">
        <v>0.115</v>
      </c>
      <c r="L194" s="155">
        <f t="shared" si="261"/>
        <v>0.12052000000000002</v>
      </c>
      <c r="M194" s="155">
        <f t="shared" si="262"/>
        <v>0.12678704000000002</v>
      </c>
      <c r="N194" s="155">
        <f t="shared" ref="N194:O229" si="271">M194*1.042</f>
        <v>0.13211209568000001</v>
      </c>
      <c r="O194" s="155">
        <f t="shared" si="271"/>
        <v>0.13766080369856001</v>
      </c>
      <c r="P194" s="155">
        <v>0.01</v>
      </c>
      <c r="Q194" s="155">
        <v>2E-3</v>
      </c>
      <c r="R194" s="155"/>
      <c r="S194" s="155"/>
      <c r="T194" s="155"/>
      <c r="U194" s="155"/>
      <c r="V194" s="155">
        <v>5</v>
      </c>
      <c r="W194" s="155">
        <v>1</v>
      </c>
      <c r="X194" s="155">
        <v>1</v>
      </c>
      <c r="Y194" s="155">
        <v>1</v>
      </c>
      <c r="Z194" s="155">
        <v>1</v>
      </c>
      <c r="AA194" s="155">
        <v>1</v>
      </c>
      <c r="AB194" s="156">
        <f t="shared" si="266"/>
        <v>6833.333333333333</v>
      </c>
      <c r="AC194" s="156">
        <f t="shared" si="266"/>
        <v>7500</v>
      </c>
      <c r="AD194" s="156">
        <f t="shared" si="266"/>
        <v>7987.4999999999991</v>
      </c>
      <c r="AE194" s="207">
        <f t="shared" si="194"/>
        <v>8378.8874999999989</v>
      </c>
      <c r="AF194" s="207">
        <f t="shared" si="195"/>
        <v>8755.9374374999989</v>
      </c>
      <c r="AG194" s="207">
        <f t="shared" si="196"/>
        <v>9106.1749349999991</v>
      </c>
      <c r="AH194" s="156">
        <v>0.41</v>
      </c>
      <c r="AI194" s="156">
        <v>0.09</v>
      </c>
      <c r="AJ194" s="156">
        <f t="shared" si="267"/>
        <v>9.5849999999999991E-2</v>
      </c>
      <c r="AK194" s="156">
        <f t="shared" ref="AK194:AK197" si="272">AE194*Y194*12/1000000</f>
        <v>0.10054664999999999</v>
      </c>
      <c r="AL194" s="156">
        <f t="shared" ref="AL194:AL197" si="273">AF194*Z194*12/1000000</f>
        <v>0.10507124925</v>
      </c>
      <c r="AM194" s="156">
        <f t="shared" ref="AM194:AM197" si="274">AG194*AA194*12/1000000</f>
        <v>0.10927409921999999</v>
      </c>
      <c r="AN194" s="4"/>
      <c r="AO194" s="4"/>
    </row>
    <row r="195" spans="1:41" s="35" customFormat="1" ht="15.75">
      <c r="A195" s="181" t="s">
        <v>359</v>
      </c>
      <c r="B195" s="182" t="s">
        <v>266</v>
      </c>
      <c r="C195" s="152"/>
      <c r="D195" s="191"/>
      <c r="E195" s="191"/>
      <c r="F195" s="191"/>
      <c r="G195" s="191"/>
      <c r="H195" s="191"/>
      <c r="I195" s="191"/>
      <c r="J195" s="155">
        <v>0.9</v>
      </c>
      <c r="K195" s="155">
        <v>0.10199999999999999</v>
      </c>
      <c r="L195" s="155">
        <f t="shared" si="261"/>
        <v>0.10689599999999999</v>
      </c>
      <c r="M195" s="155">
        <f t="shared" si="262"/>
        <v>0.11245459199999999</v>
      </c>
      <c r="N195" s="155">
        <f t="shared" si="271"/>
        <v>0.117177684864</v>
      </c>
      <c r="O195" s="155">
        <f t="shared" si="271"/>
        <v>0.12209914762828801</v>
      </c>
      <c r="P195" s="155">
        <v>0.09</v>
      </c>
      <c r="Q195" s="155"/>
      <c r="R195" s="155"/>
      <c r="S195" s="155"/>
      <c r="T195" s="155"/>
      <c r="U195" s="155"/>
      <c r="V195" s="155">
        <v>5</v>
      </c>
      <c r="W195" s="155">
        <v>1</v>
      </c>
      <c r="X195" s="155">
        <v>1</v>
      </c>
      <c r="Y195" s="155">
        <v>1</v>
      </c>
      <c r="Z195" s="155">
        <v>1</v>
      </c>
      <c r="AA195" s="155">
        <v>1</v>
      </c>
      <c r="AB195" s="156">
        <f t="shared" si="266"/>
        <v>5000</v>
      </c>
      <c r="AC195" s="156">
        <f t="shared" si="266"/>
        <v>7500</v>
      </c>
      <c r="AD195" s="156">
        <f t="shared" si="266"/>
        <v>7987.4999999999991</v>
      </c>
      <c r="AE195" s="207">
        <f t="shared" si="194"/>
        <v>8378.8874999999989</v>
      </c>
      <c r="AF195" s="207">
        <f t="shared" si="195"/>
        <v>8755.9374374999989</v>
      </c>
      <c r="AG195" s="207">
        <f t="shared" si="196"/>
        <v>9106.1749349999991</v>
      </c>
      <c r="AH195" s="156">
        <v>0.3</v>
      </c>
      <c r="AI195" s="156">
        <v>0.09</v>
      </c>
      <c r="AJ195" s="156">
        <f t="shared" si="267"/>
        <v>9.5849999999999991E-2</v>
      </c>
      <c r="AK195" s="156">
        <f t="shared" si="272"/>
        <v>0.10054664999999999</v>
      </c>
      <c r="AL195" s="156">
        <f t="shared" si="273"/>
        <v>0.10507124925</v>
      </c>
      <c r="AM195" s="156">
        <f t="shared" si="274"/>
        <v>0.10927409921999999</v>
      </c>
      <c r="AN195" s="4"/>
      <c r="AO195" s="4"/>
    </row>
    <row r="196" spans="1:41" s="35" customFormat="1" ht="15.75">
      <c r="A196" s="181" t="s">
        <v>360</v>
      </c>
      <c r="B196" s="182"/>
      <c r="C196" s="152"/>
      <c r="D196" s="191"/>
      <c r="E196" s="191"/>
      <c r="F196" s="191"/>
      <c r="G196" s="191"/>
      <c r="H196" s="191"/>
      <c r="I196" s="191"/>
      <c r="J196" s="155">
        <v>2.8</v>
      </c>
      <c r="K196" s="155">
        <v>2.6419999999999999</v>
      </c>
      <c r="L196" s="155">
        <f t="shared" si="261"/>
        <v>2.7688160000000002</v>
      </c>
      <c r="M196" s="155">
        <f t="shared" si="262"/>
        <v>2.9127944320000001</v>
      </c>
      <c r="N196" s="155">
        <f t="shared" si="271"/>
        <v>3.035131798144</v>
      </c>
      <c r="O196" s="155">
        <f t="shared" si="271"/>
        <v>3.1626073336660481</v>
      </c>
      <c r="P196" s="155">
        <v>0.2</v>
      </c>
      <c r="Q196" s="155">
        <v>0.12</v>
      </c>
      <c r="R196" s="155">
        <f t="shared" ref="R196:R197" si="275">Q196*1.048</f>
        <v>0.12576000000000001</v>
      </c>
      <c r="S196" s="155">
        <f t="shared" ref="S196:S197" si="276">R196*1.052</f>
        <v>0.13229952</v>
      </c>
      <c r="T196" s="155">
        <f t="shared" ref="T196:U211" si="277">S196*1.042</f>
        <v>0.13785609984</v>
      </c>
      <c r="U196" s="155">
        <f t="shared" si="277"/>
        <v>0.14364605603328001</v>
      </c>
      <c r="V196" s="155">
        <v>5</v>
      </c>
      <c r="W196" s="155">
        <v>2</v>
      </c>
      <c r="X196" s="155">
        <v>2</v>
      </c>
      <c r="Y196" s="155">
        <v>2</v>
      </c>
      <c r="Z196" s="155">
        <v>2</v>
      </c>
      <c r="AA196" s="155">
        <v>2</v>
      </c>
      <c r="AB196" s="156">
        <f t="shared" si="266"/>
        <v>5166.666666666667</v>
      </c>
      <c r="AC196" s="156">
        <f t="shared" si="266"/>
        <v>10791.666666666666</v>
      </c>
      <c r="AD196" s="156">
        <f t="shared" si="266"/>
        <v>11493.125</v>
      </c>
      <c r="AE196" s="207">
        <f t="shared" si="194"/>
        <v>12056.288124999999</v>
      </c>
      <c r="AF196" s="207">
        <f t="shared" si="195"/>
        <v>12598.821090624999</v>
      </c>
      <c r="AG196" s="207">
        <f t="shared" si="196"/>
        <v>13102.773934249999</v>
      </c>
      <c r="AH196" s="156">
        <v>0.31</v>
      </c>
      <c r="AI196" s="156">
        <v>0.25900000000000001</v>
      </c>
      <c r="AJ196" s="156">
        <f t="shared" si="267"/>
        <v>0.275835</v>
      </c>
      <c r="AK196" s="156">
        <f t="shared" si="272"/>
        <v>0.28935091499999999</v>
      </c>
      <c r="AL196" s="156">
        <f t="shared" si="273"/>
        <v>0.30237170617499992</v>
      </c>
      <c r="AM196" s="156">
        <f t="shared" si="274"/>
        <v>0.31446657442199999</v>
      </c>
      <c r="AN196" s="4"/>
      <c r="AO196" s="4"/>
    </row>
    <row r="197" spans="1:41" s="35" customFormat="1" ht="15.75">
      <c r="A197" s="181" t="s">
        <v>361</v>
      </c>
      <c r="B197" s="182"/>
      <c r="C197" s="152"/>
      <c r="D197" s="191"/>
      <c r="E197" s="191"/>
      <c r="F197" s="191"/>
      <c r="G197" s="191"/>
      <c r="H197" s="191"/>
      <c r="I197" s="191"/>
      <c r="J197" s="155">
        <v>38.4</v>
      </c>
      <c r="K197" s="155">
        <v>40.686999999999998</v>
      </c>
      <c r="L197" s="155">
        <f t="shared" si="261"/>
        <v>42.639975999999997</v>
      </c>
      <c r="M197" s="155">
        <f t="shared" si="262"/>
        <v>44.857254751999996</v>
      </c>
      <c r="N197" s="155">
        <f t="shared" si="271"/>
        <v>46.741259451584</v>
      </c>
      <c r="O197" s="155">
        <f t="shared" si="271"/>
        <v>48.704392348550527</v>
      </c>
      <c r="P197" s="155">
        <v>-0.9</v>
      </c>
      <c r="Q197" s="155">
        <v>-0.28999999999999998</v>
      </c>
      <c r="R197" s="155">
        <f t="shared" si="275"/>
        <v>-0.30391999999999997</v>
      </c>
      <c r="S197" s="155">
        <f t="shared" si="276"/>
        <v>-0.31972383999999998</v>
      </c>
      <c r="T197" s="155">
        <f t="shared" si="277"/>
        <v>-0.33315224127999998</v>
      </c>
      <c r="U197" s="155">
        <f t="shared" si="277"/>
        <v>-0.34714463541376001</v>
      </c>
      <c r="V197" s="155">
        <v>89</v>
      </c>
      <c r="W197" s="155">
        <v>95</v>
      </c>
      <c r="X197" s="155">
        <v>90</v>
      </c>
      <c r="Y197" s="155">
        <v>90</v>
      </c>
      <c r="Z197" s="155">
        <v>90</v>
      </c>
      <c r="AA197" s="155">
        <v>90</v>
      </c>
      <c r="AB197" s="156">
        <f t="shared" si="266"/>
        <v>15543.071161048691</v>
      </c>
      <c r="AC197" s="156">
        <f t="shared" si="266"/>
        <v>17692.105263157897</v>
      </c>
      <c r="AD197" s="156">
        <f t="shared" si="266"/>
        <v>19888.875</v>
      </c>
      <c r="AE197" s="207">
        <f t="shared" si="194"/>
        <v>20863.429874999998</v>
      </c>
      <c r="AF197" s="207">
        <f t="shared" si="195"/>
        <v>21802.284219374997</v>
      </c>
      <c r="AG197" s="207">
        <f t="shared" si="196"/>
        <v>22674.375588149996</v>
      </c>
      <c r="AH197" s="156">
        <v>16.600000000000001</v>
      </c>
      <c r="AI197" s="156">
        <v>20.169</v>
      </c>
      <c r="AJ197" s="156">
        <f t="shared" si="267"/>
        <v>21.479984999999999</v>
      </c>
      <c r="AK197" s="156">
        <f t="shared" si="272"/>
        <v>22.532504264999996</v>
      </c>
      <c r="AL197" s="156">
        <f t="shared" si="273"/>
        <v>23.546466956924998</v>
      </c>
      <c r="AM197" s="156">
        <f t="shared" si="274"/>
        <v>24.488325635201999</v>
      </c>
      <c r="AN197" s="4"/>
      <c r="AO197" s="4"/>
    </row>
    <row r="198" spans="1:41" s="35" customFormat="1" ht="15.75">
      <c r="A198" s="181" t="s">
        <v>362</v>
      </c>
      <c r="B198" s="182"/>
      <c r="C198" s="152"/>
      <c r="D198" s="191"/>
      <c r="E198" s="191"/>
      <c r="F198" s="191"/>
      <c r="G198" s="191"/>
      <c r="H198" s="191"/>
      <c r="I198" s="191"/>
      <c r="J198" s="155"/>
      <c r="K198" s="155">
        <v>2.9000000000000001E-2</v>
      </c>
      <c r="L198" s="155">
        <f t="shared" si="261"/>
        <v>3.0392000000000002E-2</v>
      </c>
      <c r="M198" s="155">
        <f t="shared" si="262"/>
        <v>3.1972384000000006E-2</v>
      </c>
      <c r="N198" s="155">
        <f t="shared" si="271"/>
        <v>3.3315224128000011E-2</v>
      </c>
      <c r="O198" s="155">
        <f t="shared" si="271"/>
        <v>3.4714463541376014E-2</v>
      </c>
      <c r="P198" s="155"/>
      <c r="Q198" s="155">
        <v>2E-3</v>
      </c>
      <c r="R198" s="155"/>
      <c r="S198" s="155"/>
      <c r="T198" s="155"/>
      <c r="U198" s="155"/>
      <c r="V198" s="155"/>
      <c r="W198" s="155"/>
      <c r="X198" s="155">
        <v>2</v>
      </c>
      <c r="Y198" s="155">
        <v>2</v>
      </c>
      <c r="Z198" s="155">
        <v>2</v>
      </c>
      <c r="AA198" s="155">
        <v>2</v>
      </c>
      <c r="AB198" s="156"/>
      <c r="AC198" s="156"/>
      <c r="AD198" s="156">
        <f t="shared" si="266"/>
        <v>0</v>
      </c>
      <c r="AE198" s="207"/>
      <c r="AF198" s="207"/>
      <c r="AG198" s="207"/>
      <c r="AH198" s="156"/>
      <c r="AI198" s="156"/>
      <c r="AJ198" s="156"/>
      <c r="AK198" s="156"/>
      <c r="AL198" s="156"/>
      <c r="AM198" s="156"/>
      <c r="AN198" s="4"/>
      <c r="AO198" s="4"/>
    </row>
    <row r="199" spans="1:41" s="35" customFormat="1" ht="15.75">
      <c r="A199" s="181" t="s">
        <v>363</v>
      </c>
      <c r="B199" s="182"/>
      <c r="C199" s="152"/>
      <c r="D199" s="191"/>
      <c r="E199" s="191"/>
      <c r="F199" s="191"/>
      <c r="G199" s="191"/>
      <c r="H199" s="191"/>
      <c r="I199" s="191"/>
      <c r="J199" s="155">
        <v>4.9000000000000004</v>
      </c>
      <c r="K199" s="155">
        <v>4.1989999999999998</v>
      </c>
      <c r="L199" s="155">
        <f t="shared" si="261"/>
        <v>4.4005520000000002</v>
      </c>
      <c r="M199" s="155">
        <f t="shared" si="262"/>
        <v>4.6293807040000008</v>
      </c>
      <c r="N199" s="155">
        <f t="shared" si="271"/>
        <v>4.8238146935680009</v>
      </c>
      <c r="O199" s="155">
        <f t="shared" si="271"/>
        <v>5.0264149106978575</v>
      </c>
      <c r="P199" s="155">
        <v>0</v>
      </c>
      <c r="Q199" s="155"/>
      <c r="R199" s="155"/>
      <c r="S199" s="155"/>
      <c r="T199" s="155"/>
      <c r="U199" s="155"/>
      <c r="V199" s="155">
        <v>10</v>
      </c>
      <c r="W199" s="155">
        <v>24</v>
      </c>
      <c r="X199" s="155">
        <v>7</v>
      </c>
      <c r="Y199" s="155">
        <v>7</v>
      </c>
      <c r="Z199" s="155">
        <v>7</v>
      </c>
      <c r="AA199" s="155">
        <v>7</v>
      </c>
      <c r="AB199" s="156">
        <f t="shared" si="266"/>
        <v>9833.3333333333339</v>
      </c>
      <c r="AC199" s="156">
        <f t="shared" si="266"/>
        <v>4506.9444444444443</v>
      </c>
      <c r="AD199" s="156">
        <f t="shared" si="266"/>
        <v>16456.785714285714</v>
      </c>
      <c r="AE199" s="207">
        <f t="shared" si="194"/>
        <v>17263.168214285713</v>
      </c>
      <c r="AF199" s="207">
        <f t="shared" si="195"/>
        <v>18040.01078392857</v>
      </c>
      <c r="AG199" s="207">
        <f t="shared" si="196"/>
        <v>18761.611215285713</v>
      </c>
      <c r="AH199" s="156">
        <v>1.18</v>
      </c>
      <c r="AI199" s="156">
        <v>1.298</v>
      </c>
      <c r="AJ199" s="156">
        <f t="shared" si="267"/>
        <v>1.3823699999999999</v>
      </c>
      <c r="AK199" s="156">
        <f t="shared" ref="AK199" si="278">AE199*Y199*12/1000000</f>
        <v>1.45010613</v>
      </c>
      <c r="AL199" s="156">
        <f t="shared" ref="AL199" si="279">AF199*Z199*12/1000000</f>
        <v>1.5153609058499999</v>
      </c>
      <c r="AM199" s="156">
        <f t="shared" ref="AM199" si="280">AG199*AA199*12/1000000</f>
        <v>1.5759753420839999</v>
      </c>
      <c r="AN199" s="4"/>
      <c r="AO199" s="4"/>
    </row>
    <row r="200" spans="1:41" s="35" customFormat="1" ht="15.75">
      <c r="A200" s="181" t="s">
        <v>364</v>
      </c>
      <c r="B200" s="182" t="s">
        <v>365</v>
      </c>
      <c r="C200" s="152"/>
      <c r="D200" s="191"/>
      <c r="E200" s="191"/>
      <c r="F200" s="191"/>
      <c r="G200" s="191"/>
      <c r="H200" s="191"/>
      <c r="I200" s="191"/>
      <c r="J200" s="155"/>
      <c r="K200" s="155">
        <v>0</v>
      </c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  <c r="AA200" s="155"/>
      <c r="AB200" s="156"/>
      <c r="AC200" s="156"/>
      <c r="AD200" s="156"/>
      <c r="AE200" s="207"/>
      <c r="AF200" s="207"/>
      <c r="AG200" s="207"/>
      <c r="AH200" s="156"/>
      <c r="AI200" s="156"/>
      <c r="AJ200" s="156"/>
      <c r="AK200" s="156"/>
      <c r="AL200" s="156"/>
      <c r="AM200" s="156"/>
      <c r="AN200" s="4"/>
      <c r="AO200" s="4"/>
    </row>
    <row r="201" spans="1:41" s="35" customFormat="1" ht="15.75">
      <c r="A201" s="181" t="s">
        <v>366</v>
      </c>
      <c r="B201" s="182"/>
      <c r="C201" s="152"/>
      <c r="D201" s="191"/>
      <c r="E201" s="191"/>
      <c r="F201" s="191"/>
      <c r="G201" s="191"/>
      <c r="H201" s="191"/>
      <c r="I201" s="191"/>
      <c r="J201" s="155"/>
      <c r="K201" s="155">
        <v>7.0250000000000004</v>
      </c>
      <c r="L201" s="155">
        <f t="shared" si="261"/>
        <v>7.3622000000000005</v>
      </c>
      <c r="M201" s="155">
        <f t="shared" si="262"/>
        <v>7.7450344000000007</v>
      </c>
      <c r="N201" s="155">
        <f t="shared" si="271"/>
        <v>8.070325844800001</v>
      </c>
      <c r="O201" s="155">
        <f t="shared" si="271"/>
        <v>8.4092795302816015</v>
      </c>
      <c r="P201" s="155"/>
      <c r="Q201" s="155">
        <v>0.78100000000000003</v>
      </c>
      <c r="R201" s="155">
        <f t="shared" ref="R201:R202" si="281">Q201*1.048</f>
        <v>0.8184880000000001</v>
      </c>
      <c r="S201" s="155">
        <f t="shared" ref="S201:S202" si="282">R201*1.052</f>
        <v>0.8610493760000002</v>
      </c>
      <c r="T201" s="155">
        <f t="shared" ref="T201:T202" si="283">S201*1.042</f>
        <v>0.89721344979200024</v>
      </c>
      <c r="U201" s="155">
        <f t="shared" si="277"/>
        <v>0.93489641468326423</v>
      </c>
      <c r="V201" s="155"/>
      <c r="W201" s="155">
        <v>3</v>
      </c>
      <c r="X201" s="155">
        <v>3</v>
      </c>
      <c r="Y201" s="155">
        <v>3</v>
      </c>
      <c r="Z201" s="155">
        <v>3</v>
      </c>
      <c r="AA201" s="155">
        <v>3</v>
      </c>
      <c r="AB201" s="156"/>
      <c r="AC201" s="156">
        <f t="shared" si="266"/>
        <v>14527.777777777779</v>
      </c>
      <c r="AD201" s="156">
        <f t="shared" si="266"/>
        <v>15472.083333333334</v>
      </c>
      <c r="AE201" s="207">
        <f t="shared" si="194"/>
        <v>16230.215416666666</v>
      </c>
      <c r="AF201" s="207">
        <f t="shared" si="195"/>
        <v>16960.575110416667</v>
      </c>
      <c r="AG201" s="207">
        <f t="shared" si="196"/>
        <v>17638.998114833335</v>
      </c>
      <c r="AH201" s="156"/>
      <c r="AI201" s="156">
        <v>0.52300000000000002</v>
      </c>
      <c r="AJ201" s="156">
        <f t="shared" si="267"/>
        <v>0.55699500000000002</v>
      </c>
      <c r="AK201" s="156">
        <f t="shared" ref="AK201:AK202" si="284">AE201*Y201*12/1000000</f>
        <v>0.58428775499999996</v>
      </c>
      <c r="AL201" s="156">
        <f t="shared" ref="AL201:AL202" si="285">AF201*Z201*12/1000000</f>
        <v>0.61058070397499997</v>
      </c>
      <c r="AM201" s="156">
        <f t="shared" ref="AM201:AM202" si="286">AG201*AA201*12/1000000</f>
        <v>0.63500393213400008</v>
      </c>
      <c r="AN201" s="4"/>
      <c r="AO201" s="4"/>
    </row>
    <row r="202" spans="1:41" s="35" customFormat="1" ht="15.75">
      <c r="A202" s="181" t="s">
        <v>367</v>
      </c>
      <c r="B202" s="182"/>
      <c r="C202" s="152"/>
      <c r="D202" s="191"/>
      <c r="E202" s="191"/>
      <c r="F202" s="191"/>
      <c r="G202" s="191"/>
      <c r="H202" s="191"/>
      <c r="I202" s="191"/>
      <c r="J202" s="155">
        <v>2.7</v>
      </c>
      <c r="K202" s="155">
        <v>2.66</v>
      </c>
      <c r="L202" s="155">
        <f t="shared" si="261"/>
        <v>2.7876800000000004</v>
      </c>
      <c r="M202" s="155">
        <f t="shared" si="262"/>
        <v>2.9326393600000005</v>
      </c>
      <c r="N202" s="155">
        <f t="shared" si="271"/>
        <v>3.0558102131200005</v>
      </c>
      <c r="O202" s="155">
        <f t="shared" si="271"/>
        <v>3.1841542420710405</v>
      </c>
      <c r="P202" s="155">
        <v>2.1</v>
      </c>
      <c r="Q202" s="155">
        <v>1.79</v>
      </c>
      <c r="R202" s="155">
        <f t="shared" si="281"/>
        <v>1.87592</v>
      </c>
      <c r="S202" s="155">
        <f t="shared" si="282"/>
        <v>1.9734678400000001</v>
      </c>
      <c r="T202" s="155">
        <f t="shared" si="283"/>
        <v>2.0563534892800002</v>
      </c>
      <c r="U202" s="155">
        <f t="shared" si="277"/>
        <v>2.1427203358297602</v>
      </c>
      <c r="V202" s="155">
        <v>1</v>
      </c>
      <c r="W202" s="155">
        <v>1</v>
      </c>
      <c r="X202" s="155">
        <v>1</v>
      </c>
      <c r="Y202" s="155">
        <v>1</v>
      </c>
      <c r="Z202" s="155">
        <v>1</v>
      </c>
      <c r="AA202" s="155">
        <v>1</v>
      </c>
      <c r="AB202" s="156">
        <f t="shared" si="266"/>
        <v>10000</v>
      </c>
      <c r="AC202" s="156">
        <f t="shared" si="266"/>
        <v>16933.333333333332</v>
      </c>
      <c r="AD202" s="156">
        <f t="shared" si="266"/>
        <v>18034</v>
      </c>
      <c r="AE202" s="207">
        <f t="shared" ref="AE202:AE231" si="287">AD202*1.049</f>
        <v>18917.665999999997</v>
      </c>
      <c r="AF202" s="207">
        <f t="shared" ref="AF202:AF242" si="288">AE202*1.045</f>
        <v>19768.960969999996</v>
      </c>
      <c r="AG202" s="207">
        <f t="shared" ref="AG202:AG242" si="289">AF202*1.04</f>
        <v>20559.719408799996</v>
      </c>
      <c r="AH202" s="156">
        <v>0.12</v>
      </c>
      <c r="AI202" s="156">
        <v>0.20319999999999999</v>
      </c>
      <c r="AJ202" s="156">
        <f t="shared" si="267"/>
        <v>0.21640799999999999</v>
      </c>
      <c r="AK202" s="156">
        <f t="shared" si="284"/>
        <v>0.22701199199999997</v>
      </c>
      <c r="AL202" s="156">
        <f t="shared" si="285"/>
        <v>0.23722753163999993</v>
      </c>
      <c r="AM202" s="156">
        <f t="shared" si="286"/>
        <v>0.24671663290559995</v>
      </c>
      <c r="AN202" s="4"/>
      <c r="AO202" s="4"/>
    </row>
    <row r="203" spans="1:41" s="35" customFormat="1" ht="18" customHeight="1">
      <c r="A203" s="181" t="s">
        <v>368</v>
      </c>
      <c r="B203" s="182" t="s">
        <v>266</v>
      </c>
      <c r="C203" s="152"/>
      <c r="D203" s="191"/>
      <c r="E203" s="191"/>
      <c r="F203" s="191"/>
      <c r="G203" s="191"/>
      <c r="H203" s="191"/>
      <c r="I203" s="191"/>
      <c r="J203" s="155">
        <v>6.6</v>
      </c>
      <c r="K203" s="155">
        <v>0</v>
      </c>
      <c r="L203" s="155"/>
      <c r="M203" s="155"/>
      <c r="N203" s="155"/>
      <c r="O203" s="155"/>
      <c r="P203" s="155">
        <v>0.2</v>
      </c>
      <c r="Q203" s="155"/>
      <c r="R203" s="155"/>
      <c r="S203" s="155"/>
      <c r="T203" s="155"/>
      <c r="U203" s="155"/>
      <c r="V203" s="155">
        <v>47</v>
      </c>
      <c r="W203" s="155"/>
      <c r="X203" s="155"/>
      <c r="Y203" s="155"/>
      <c r="Z203" s="155"/>
      <c r="AA203" s="155"/>
      <c r="AB203" s="156">
        <f t="shared" si="266"/>
        <v>14007.09219858156</v>
      </c>
      <c r="AC203" s="156"/>
      <c r="AD203" s="156"/>
      <c r="AE203" s="207"/>
      <c r="AF203" s="207"/>
      <c r="AG203" s="207"/>
      <c r="AH203" s="156">
        <v>7.9</v>
      </c>
      <c r="AI203" s="156"/>
      <c r="AJ203" s="156"/>
      <c r="AK203" s="156"/>
      <c r="AL203" s="156"/>
      <c r="AM203" s="156"/>
      <c r="AN203" s="4"/>
      <c r="AO203" s="4"/>
    </row>
    <row r="204" spans="1:41" s="35" customFormat="1" ht="15.75">
      <c r="A204" s="181" t="s">
        <v>329</v>
      </c>
      <c r="B204" s="182" t="s">
        <v>266</v>
      </c>
      <c r="C204" s="152"/>
      <c r="D204" s="191"/>
      <c r="E204" s="191"/>
      <c r="F204" s="191"/>
      <c r="G204" s="191"/>
      <c r="H204" s="191"/>
      <c r="I204" s="191"/>
      <c r="J204" s="155"/>
      <c r="K204" s="155">
        <v>0</v>
      </c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6"/>
      <c r="AC204" s="156"/>
      <c r="AD204" s="156"/>
      <c r="AE204" s="207"/>
      <c r="AF204" s="207"/>
      <c r="AG204" s="207"/>
      <c r="AH204" s="156"/>
      <c r="AI204" s="156"/>
      <c r="AJ204" s="156"/>
      <c r="AK204" s="156"/>
      <c r="AL204" s="156"/>
      <c r="AM204" s="156"/>
      <c r="AN204" s="4"/>
      <c r="AO204" s="4"/>
    </row>
    <row r="205" spans="1:41" s="35" customFormat="1" ht="15.75">
      <c r="A205" s="181" t="s">
        <v>369</v>
      </c>
      <c r="B205" s="182"/>
      <c r="C205" s="152"/>
      <c r="D205" s="191"/>
      <c r="E205" s="191"/>
      <c r="F205" s="191"/>
      <c r="G205" s="191"/>
      <c r="H205" s="191"/>
      <c r="I205" s="191"/>
      <c r="J205" s="155">
        <v>6</v>
      </c>
      <c r="K205" s="155">
        <v>5.6920000000000002</v>
      </c>
      <c r="L205" s="155">
        <f t="shared" si="261"/>
        <v>5.9652160000000007</v>
      </c>
      <c r="M205" s="155">
        <f t="shared" si="262"/>
        <v>6.2754072320000009</v>
      </c>
      <c r="N205" s="155">
        <f t="shared" si="271"/>
        <v>6.5389743357440011</v>
      </c>
      <c r="O205" s="155">
        <f t="shared" si="271"/>
        <v>6.813611257845249</v>
      </c>
      <c r="P205" s="155">
        <v>0</v>
      </c>
      <c r="Q205" s="155"/>
      <c r="R205" s="155"/>
      <c r="S205" s="155"/>
      <c r="T205" s="155"/>
      <c r="U205" s="155"/>
      <c r="V205" s="155">
        <v>11</v>
      </c>
      <c r="W205" s="155">
        <v>10</v>
      </c>
      <c r="X205" s="155">
        <v>10</v>
      </c>
      <c r="Y205" s="155">
        <v>10</v>
      </c>
      <c r="Z205" s="155">
        <v>10</v>
      </c>
      <c r="AA205" s="155">
        <v>10</v>
      </c>
      <c r="AB205" s="156">
        <f t="shared" si="266"/>
        <v>9848.484848484848</v>
      </c>
      <c r="AC205" s="156">
        <f t="shared" si="266"/>
        <v>11930</v>
      </c>
      <c r="AD205" s="156">
        <f t="shared" si="266"/>
        <v>12705.449999999999</v>
      </c>
      <c r="AE205" s="207">
        <f t="shared" si="287"/>
        <v>13328.017049999999</v>
      </c>
      <c r="AF205" s="207">
        <f t="shared" si="288"/>
        <v>13927.777817249998</v>
      </c>
      <c r="AG205" s="207">
        <f t="shared" si="289"/>
        <v>14484.888929939998</v>
      </c>
      <c r="AH205" s="156">
        <v>1.3</v>
      </c>
      <c r="AI205" s="156">
        <v>1.4316</v>
      </c>
      <c r="AJ205" s="156">
        <f t="shared" si="267"/>
        <v>1.524654</v>
      </c>
      <c r="AK205" s="156">
        <f t="shared" ref="AK205" si="290">AE205*Y205*12/1000000</f>
        <v>1.5993620459999995</v>
      </c>
      <c r="AL205" s="156">
        <f t="shared" ref="AL205" si="291">AF205*Z205*12/1000000</f>
        <v>1.67133333807</v>
      </c>
      <c r="AM205" s="156">
        <f t="shared" ref="AM205" si="292">AG205*AA205*12/1000000</f>
        <v>1.7381866715927996</v>
      </c>
      <c r="AN205" s="4"/>
      <c r="AO205" s="4"/>
    </row>
    <row r="206" spans="1:41" s="35" customFormat="1" ht="15.75">
      <c r="A206" s="181" t="s">
        <v>370</v>
      </c>
      <c r="B206" s="182"/>
      <c r="C206" s="152"/>
      <c r="D206" s="191"/>
      <c r="E206" s="191"/>
      <c r="F206" s="191"/>
      <c r="G206" s="191"/>
      <c r="H206" s="191"/>
      <c r="I206" s="191"/>
      <c r="J206" s="155">
        <v>5.2</v>
      </c>
      <c r="K206" s="155">
        <v>5.1479999999999997</v>
      </c>
      <c r="L206" s="155">
        <f t="shared" si="261"/>
        <v>5.3951039999999999</v>
      </c>
      <c r="M206" s="155">
        <f t="shared" si="262"/>
        <v>5.675649408</v>
      </c>
      <c r="N206" s="155">
        <f t="shared" si="271"/>
        <v>5.914026683136</v>
      </c>
      <c r="O206" s="155">
        <f t="shared" si="271"/>
        <v>6.1624158038277121</v>
      </c>
      <c r="P206" s="155">
        <v>0</v>
      </c>
      <c r="Q206" s="155"/>
      <c r="R206" s="155"/>
      <c r="S206" s="155"/>
      <c r="T206" s="155"/>
      <c r="U206" s="155"/>
      <c r="V206" s="155">
        <v>14</v>
      </c>
      <c r="W206" s="155">
        <v>12</v>
      </c>
      <c r="X206" s="155">
        <v>12</v>
      </c>
      <c r="Y206" s="155">
        <v>12</v>
      </c>
      <c r="Z206" s="155">
        <v>12</v>
      </c>
      <c r="AA206" s="155">
        <v>12</v>
      </c>
      <c r="AB206" s="156">
        <f t="shared" si="266"/>
        <v>7916.666666666667</v>
      </c>
      <c r="AC206" s="156">
        <f t="shared" si="266"/>
        <v>9804.8611111111113</v>
      </c>
      <c r="AD206" s="156">
        <f t="shared" si="266"/>
        <v>10442.177083333334</v>
      </c>
      <c r="AE206" s="207">
        <f t="shared" si="287"/>
        <v>10953.843760416667</v>
      </c>
      <c r="AF206" s="207">
        <f t="shared" si="288"/>
        <v>11446.766729635416</v>
      </c>
      <c r="AG206" s="207">
        <f t="shared" si="289"/>
        <v>11904.637398820832</v>
      </c>
      <c r="AH206" s="156">
        <v>1.33</v>
      </c>
      <c r="AI206" s="156">
        <v>1.4118999999999999</v>
      </c>
      <c r="AJ206" s="156">
        <f t="shared" si="267"/>
        <v>1.5036734999999999</v>
      </c>
      <c r="AK206" s="156">
        <f t="shared" ref="AK206:AK220" si="293">AE206*Y206*12/1000000</f>
        <v>1.5773535014999998</v>
      </c>
      <c r="AL206" s="156">
        <f t="shared" ref="AL206:AL220" si="294">AF206*Z206*12/1000000</f>
        <v>1.6483344090674996</v>
      </c>
      <c r="AM206" s="156">
        <f t="shared" ref="AM206:AM220" si="295">AG206*AA206*12/1000000</f>
        <v>1.7142677854301998</v>
      </c>
      <c r="AN206" s="4"/>
      <c r="AO206" s="4"/>
    </row>
    <row r="207" spans="1:41" s="35" customFormat="1" ht="15.75">
      <c r="A207" s="181" t="s">
        <v>371</v>
      </c>
      <c r="B207" s="182"/>
      <c r="C207" s="152"/>
      <c r="D207" s="191"/>
      <c r="E207" s="191"/>
      <c r="F207" s="191"/>
      <c r="G207" s="191"/>
      <c r="H207" s="191"/>
      <c r="I207" s="191"/>
      <c r="J207" s="155">
        <v>23.3</v>
      </c>
      <c r="K207" s="155">
        <v>16.534700000000001</v>
      </c>
      <c r="L207" s="155">
        <f t="shared" si="261"/>
        <v>17.328365600000001</v>
      </c>
      <c r="M207" s="155">
        <f t="shared" si="262"/>
        <v>18.229440611200001</v>
      </c>
      <c r="N207" s="155">
        <f t="shared" si="271"/>
        <v>18.995077116870402</v>
      </c>
      <c r="O207" s="155">
        <f t="shared" si="271"/>
        <v>19.792870355778959</v>
      </c>
      <c r="P207" s="155">
        <v>1</v>
      </c>
      <c r="Q207" s="155">
        <v>0.45429999999999998</v>
      </c>
      <c r="R207" s="155">
        <f t="shared" ref="R207:R212" si="296">Q207*1.048</f>
        <v>0.47610639999999999</v>
      </c>
      <c r="S207" s="155">
        <f t="shared" ref="S207:S212" si="297">R207*1.052</f>
        <v>0.50086393279999997</v>
      </c>
      <c r="T207" s="155">
        <f t="shared" ref="T207:U222" si="298">S207*1.042</f>
        <v>0.5219002179776</v>
      </c>
      <c r="U207" s="155">
        <f t="shared" si="277"/>
        <v>0.5438200271326592</v>
      </c>
      <c r="V207" s="155">
        <v>70</v>
      </c>
      <c r="W207" s="155">
        <v>65</v>
      </c>
      <c r="X207" s="155">
        <v>65</v>
      </c>
      <c r="Y207" s="155">
        <v>65</v>
      </c>
      <c r="Z207" s="155">
        <v>65</v>
      </c>
      <c r="AA207" s="155">
        <v>65</v>
      </c>
      <c r="AB207" s="156">
        <f t="shared" si="266"/>
        <v>17261.90476190476</v>
      </c>
      <c r="AC207" s="156">
        <f t="shared" si="266"/>
        <v>13044.48717948718</v>
      </c>
      <c r="AD207" s="156">
        <f t="shared" si="266"/>
        <v>13892.378846153844</v>
      </c>
      <c r="AE207" s="207">
        <f t="shared" si="287"/>
        <v>14573.105409615382</v>
      </c>
      <c r="AF207" s="207">
        <f t="shared" si="288"/>
        <v>15228.895153048074</v>
      </c>
      <c r="AG207" s="207">
        <f t="shared" si="289"/>
        <v>15838.050959169997</v>
      </c>
      <c r="AH207" s="156">
        <v>14.5</v>
      </c>
      <c r="AI207" s="156">
        <v>10.1747</v>
      </c>
      <c r="AJ207" s="156">
        <f t="shared" si="267"/>
        <v>10.836055499999999</v>
      </c>
      <c r="AK207" s="156">
        <f t="shared" si="293"/>
        <v>11.367022219499997</v>
      </c>
      <c r="AL207" s="156">
        <f t="shared" si="294"/>
        <v>11.878538219377496</v>
      </c>
      <c r="AM207" s="156">
        <f t="shared" si="295"/>
        <v>12.353679748152599</v>
      </c>
      <c r="AN207" s="4"/>
      <c r="AO207" s="4"/>
    </row>
    <row r="208" spans="1:41" s="35" customFormat="1" ht="15.75">
      <c r="A208" s="181" t="s">
        <v>372</v>
      </c>
      <c r="B208" s="182"/>
      <c r="C208" s="152"/>
      <c r="D208" s="191"/>
      <c r="E208" s="191"/>
      <c r="F208" s="191"/>
      <c r="G208" s="191"/>
      <c r="H208" s="191"/>
      <c r="I208" s="191"/>
      <c r="J208" s="155">
        <v>36.700000000000003</v>
      </c>
      <c r="K208" s="155">
        <v>37.590000000000003</v>
      </c>
      <c r="L208" s="155">
        <f t="shared" si="261"/>
        <v>39.394320000000008</v>
      </c>
      <c r="M208" s="155">
        <f t="shared" si="262"/>
        <v>41.442824640000012</v>
      </c>
      <c r="N208" s="155">
        <f t="shared" si="271"/>
        <v>43.183423274880013</v>
      </c>
      <c r="O208" s="155">
        <f t="shared" si="271"/>
        <v>44.997127052424979</v>
      </c>
      <c r="P208" s="155">
        <v>1.1499999999999999</v>
      </c>
      <c r="Q208" s="155">
        <v>4.1327999999999996</v>
      </c>
      <c r="R208" s="155">
        <f t="shared" si="296"/>
        <v>4.3311744000000001</v>
      </c>
      <c r="S208" s="155">
        <f t="shared" si="297"/>
        <v>4.5563954687999999</v>
      </c>
      <c r="T208" s="155">
        <f t="shared" si="298"/>
        <v>4.7477640784895998</v>
      </c>
      <c r="U208" s="155">
        <f t="shared" si="277"/>
        <v>4.9471701697861628</v>
      </c>
      <c r="V208" s="155">
        <v>55</v>
      </c>
      <c r="W208" s="155"/>
      <c r="X208" s="155">
        <v>47</v>
      </c>
      <c r="Y208" s="155">
        <v>47</v>
      </c>
      <c r="Z208" s="155">
        <v>47</v>
      </c>
      <c r="AA208" s="155">
        <v>47</v>
      </c>
      <c r="AB208" s="156">
        <f t="shared" si="266"/>
        <v>18030.303030303028</v>
      </c>
      <c r="AC208" s="156"/>
      <c r="AD208" s="156">
        <f t="shared" si="266"/>
        <v>25077.917553191492</v>
      </c>
      <c r="AE208" s="207">
        <f t="shared" si="287"/>
        <v>26306.735513297874</v>
      </c>
      <c r="AF208" s="207">
        <f t="shared" si="288"/>
        <v>27490.538611396278</v>
      </c>
      <c r="AG208" s="207">
        <f t="shared" si="289"/>
        <v>28590.160155852129</v>
      </c>
      <c r="AH208" s="156">
        <v>11.9</v>
      </c>
      <c r="AI208" s="156">
        <v>13.2807</v>
      </c>
      <c r="AJ208" s="156">
        <f t="shared" si="267"/>
        <v>14.143945499999999</v>
      </c>
      <c r="AK208" s="156">
        <f t="shared" si="293"/>
        <v>14.836998829500001</v>
      </c>
      <c r="AL208" s="156">
        <f t="shared" si="294"/>
        <v>15.504663776827499</v>
      </c>
      <c r="AM208" s="156">
        <f t="shared" si="295"/>
        <v>16.124850327900599</v>
      </c>
      <c r="AN208" s="4"/>
      <c r="AO208" s="4"/>
    </row>
    <row r="209" spans="1:41" s="35" customFormat="1" ht="15.75">
      <c r="A209" s="181" t="s">
        <v>373</v>
      </c>
      <c r="B209" s="182"/>
      <c r="C209" s="152"/>
      <c r="D209" s="191"/>
      <c r="E209" s="191"/>
      <c r="F209" s="191"/>
      <c r="G209" s="191"/>
      <c r="H209" s="191"/>
      <c r="I209" s="191"/>
      <c r="J209" s="155">
        <v>1.6</v>
      </c>
      <c r="K209" s="155">
        <v>1.5269999999999999</v>
      </c>
      <c r="L209" s="155">
        <f t="shared" si="261"/>
        <v>1.6002959999999999</v>
      </c>
      <c r="M209" s="155">
        <f t="shared" si="262"/>
        <v>1.683511392</v>
      </c>
      <c r="N209" s="155">
        <f t="shared" si="271"/>
        <v>1.754218870464</v>
      </c>
      <c r="O209" s="155">
        <f t="shared" si="271"/>
        <v>1.8278960630234882</v>
      </c>
      <c r="P209" s="155">
        <v>-0.13</v>
      </c>
      <c r="Q209" s="155">
        <v>-1.7000000000000001E-2</v>
      </c>
      <c r="R209" s="155">
        <f t="shared" si="296"/>
        <v>-1.7816000000000002E-2</v>
      </c>
      <c r="S209" s="155">
        <f t="shared" si="297"/>
        <v>-1.8742432000000003E-2</v>
      </c>
      <c r="T209" s="155">
        <f t="shared" si="298"/>
        <v>-1.9529614144000004E-2</v>
      </c>
      <c r="U209" s="155">
        <f t="shared" si="277"/>
        <v>-2.0349857938048003E-2</v>
      </c>
      <c r="V209" s="155">
        <v>3</v>
      </c>
      <c r="W209" s="155">
        <v>3</v>
      </c>
      <c r="X209" s="155">
        <v>3</v>
      </c>
      <c r="Y209" s="155">
        <v>3</v>
      </c>
      <c r="Z209" s="155">
        <v>3</v>
      </c>
      <c r="AA209" s="155">
        <v>3</v>
      </c>
      <c r="AB209" s="156">
        <f t="shared" ref="AB209:AD231" si="299">(AH209*1000000/V209)/12</f>
        <v>30555.555555555558</v>
      </c>
      <c r="AC209" s="156">
        <f t="shared" si="299"/>
        <v>29611.111111111109</v>
      </c>
      <c r="AD209" s="156">
        <f t="shared" si="299"/>
        <v>31535.833333333332</v>
      </c>
      <c r="AE209" s="207">
        <f t="shared" si="287"/>
        <v>33081.089166666665</v>
      </c>
      <c r="AF209" s="207">
        <f t="shared" si="288"/>
        <v>34569.738179166663</v>
      </c>
      <c r="AG209" s="207">
        <f t="shared" si="289"/>
        <v>35952.527706333334</v>
      </c>
      <c r="AH209" s="156">
        <v>1.1000000000000001</v>
      </c>
      <c r="AI209" s="156">
        <v>1.0660000000000001</v>
      </c>
      <c r="AJ209" s="156">
        <f t="shared" si="267"/>
        <v>1.1352899999999999</v>
      </c>
      <c r="AK209" s="156">
        <f t="shared" si="293"/>
        <v>1.1909192099999999</v>
      </c>
      <c r="AL209" s="156">
        <f t="shared" si="294"/>
        <v>1.24451057445</v>
      </c>
      <c r="AM209" s="156">
        <f t="shared" si="295"/>
        <v>1.2942909974279999</v>
      </c>
      <c r="AN209" s="4"/>
      <c r="AO209" s="4"/>
    </row>
    <row r="210" spans="1:41" s="35" customFormat="1" ht="15.75">
      <c r="A210" s="189" t="s">
        <v>374</v>
      </c>
      <c r="B210" s="184"/>
      <c r="C210" s="152"/>
      <c r="D210" s="191"/>
      <c r="E210" s="191"/>
      <c r="F210" s="191"/>
      <c r="G210" s="191"/>
      <c r="H210" s="191"/>
      <c r="I210" s="191"/>
      <c r="J210" s="155">
        <v>1.3</v>
      </c>
      <c r="K210" s="155">
        <v>1.6</v>
      </c>
      <c r="L210" s="155">
        <f t="shared" si="261"/>
        <v>1.6768000000000001</v>
      </c>
      <c r="M210" s="155">
        <f t="shared" si="262"/>
        <v>1.7639936000000001</v>
      </c>
      <c r="N210" s="155">
        <f t="shared" si="271"/>
        <v>1.8380813312000002</v>
      </c>
      <c r="O210" s="155">
        <f t="shared" si="271"/>
        <v>1.9152807471104003</v>
      </c>
      <c r="P210" s="155">
        <v>0.55000000000000004</v>
      </c>
      <c r="Q210" s="155">
        <v>0.66</v>
      </c>
      <c r="R210" s="155">
        <f t="shared" si="296"/>
        <v>0.69168000000000007</v>
      </c>
      <c r="S210" s="155">
        <f t="shared" si="297"/>
        <v>0.72764736000000008</v>
      </c>
      <c r="T210" s="155">
        <f t="shared" si="298"/>
        <v>0.75820854912000013</v>
      </c>
      <c r="U210" s="155">
        <f t="shared" si="277"/>
        <v>0.7900533081830402</v>
      </c>
      <c r="V210" s="155">
        <v>7</v>
      </c>
      <c r="W210" s="155">
        <v>7</v>
      </c>
      <c r="X210" s="155">
        <v>5</v>
      </c>
      <c r="Y210" s="155">
        <v>5</v>
      </c>
      <c r="Z210" s="155">
        <v>5</v>
      </c>
      <c r="AA210" s="155">
        <v>5</v>
      </c>
      <c r="AB210" s="156">
        <f t="shared" si="299"/>
        <v>7976.1904761904761</v>
      </c>
      <c r="AC210" s="156">
        <f t="shared" si="299"/>
        <v>6523.8095238095239</v>
      </c>
      <c r="AD210" s="156">
        <f t="shared" si="299"/>
        <v>9727</v>
      </c>
      <c r="AE210" s="207">
        <f t="shared" si="287"/>
        <v>10203.623</v>
      </c>
      <c r="AF210" s="207">
        <f t="shared" si="288"/>
        <v>10662.786034999999</v>
      </c>
      <c r="AG210" s="207">
        <f t="shared" si="289"/>
        <v>11089.297476399999</v>
      </c>
      <c r="AH210" s="156">
        <v>0.67</v>
      </c>
      <c r="AI210" s="156">
        <v>0.54800000000000004</v>
      </c>
      <c r="AJ210" s="156">
        <f t="shared" si="267"/>
        <v>0.58362000000000003</v>
      </c>
      <c r="AK210" s="156">
        <f t="shared" si="293"/>
        <v>0.61221738000000003</v>
      </c>
      <c r="AL210" s="156">
        <f t="shared" si="294"/>
        <v>0.63976716209999995</v>
      </c>
      <c r="AM210" s="156">
        <f t="shared" si="295"/>
        <v>0.66535784858399993</v>
      </c>
      <c r="AN210" s="4"/>
      <c r="AO210" s="4"/>
    </row>
    <row r="211" spans="1:41" s="35" customFormat="1" ht="15.75">
      <c r="A211" s="181" t="s">
        <v>375</v>
      </c>
      <c r="B211" s="182"/>
      <c r="C211" s="152"/>
      <c r="D211" s="191"/>
      <c r="E211" s="191"/>
      <c r="F211" s="191"/>
      <c r="G211" s="191"/>
      <c r="H211" s="191"/>
      <c r="I211" s="191"/>
      <c r="J211" s="155">
        <v>3</v>
      </c>
      <c r="K211" s="155">
        <v>2.9689999999999999</v>
      </c>
      <c r="L211" s="155">
        <f t="shared" si="261"/>
        <v>3.1115119999999998</v>
      </c>
      <c r="M211" s="155">
        <f t="shared" si="262"/>
        <v>3.2733106240000001</v>
      </c>
      <c r="N211" s="155">
        <f t="shared" si="271"/>
        <v>3.4107896702080001</v>
      </c>
      <c r="O211" s="155">
        <f t="shared" si="271"/>
        <v>3.5540428363567362</v>
      </c>
      <c r="P211" s="155">
        <v>0.25</v>
      </c>
      <c r="Q211" s="155">
        <v>0.17199999999999999</v>
      </c>
      <c r="R211" s="155">
        <f t="shared" si="296"/>
        <v>0.180256</v>
      </c>
      <c r="S211" s="155">
        <f t="shared" si="297"/>
        <v>0.18962931199999999</v>
      </c>
      <c r="T211" s="155">
        <f t="shared" si="298"/>
        <v>0.19759374310399999</v>
      </c>
      <c r="U211" s="155">
        <f t="shared" si="277"/>
        <v>0.205892680314368</v>
      </c>
      <c r="V211" s="155">
        <v>4</v>
      </c>
      <c r="W211" s="155">
        <v>4</v>
      </c>
      <c r="X211" s="155">
        <v>4</v>
      </c>
      <c r="Y211" s="155">
        <v>4</v>
      </c>
      <c r="Z211" s="155">
        <v>4</v>
      </c>
      <c r="AA211" s="155">
        <v>4</v>
      </c>
      <c r="AB211" s="156">
        <f t="shared" si="299"/>
        <v>11458.333333333334</v>
      </c>
      <c r="AC211" s="156">
        <f t="shared" si="299"/>
        <v>12704.166666666666</v>
      </c>
      <c r="AD211" s="156">
        <f t="shared" si="299"/>
        <v>13529.937499999998</v>
      </c>
      <c r="AE211" s="207">
        <f t="shared" si="287"/>
        <v>14192.904437499998</v>
      </c>
      <c r="AF211" s="207">
        <f t="shared" si="288"/>
        <v>14831.585137187496</v>
      </c>
      <c r="AG211" s="207">
        <f t="shared" si="289"/>
        <v>15424.848542674996</v>
      </c>
      <c r="AH211" s="156">
        <v>0.55000000000000004</v>
      </c>
      <c r="AI211" s="156">
        <v>0.60980000000000001</v>
      </c>
      <c r="AJ211" s="156">
        <f t="shared" si="267"/>
        <v>0.64943699999999993</v>
      </c>
      <c r="AK211" s="156">
        <f t="shared" si="293"/>
        <v>0.68125941299999992</v>
      </c>
      <c r="AL211" s="156">
        <f t="shared" si="294"/>
        <v>0.71191608658499983</v>
      </c>
      <c r="AM211" s="156">
        <f t="shared" si="295"/>
        <v>0.74039273004839978</v>
      </c>
      <c r="AN211" s="4"/>
      <c r="AO211" s="4"/>
    </row>
    <row r="212" spans="1:41" s="35" customFormat="1" ht="15.75">
      <c r="A212" s="189" t="s">
        <v>376</v>
      </c>
      <c r="B212" s="184"/>
      <c r="C212" s="152"/>
      <c r="D212" s="191"/>
      <c r="E212" s="191"/>
      <c r="F212" s="191"/>
      <c r="G212" s="191"/>
      <c r="H212" s="191"/>
      <c r="I212" s="191"/>
      <c r="J212" s="155">
        <v>0.4</v>
      </c>
      <c r="K212" s="155">
        <v>0.4</v>
      </c>
      <c r="L212" s="155">
        <f t="shared" si="261"/>
        <v>0.41920000000000002</v>
      </c>
      <c r="M212" s="155">
        <f t="shared" si="262"/>
        <v>0.44099840000000001</v>
      </c>
      <c r="N212" s="155">
        <f t="shared" si="271"/>
        <v>0.45952033280000004</v>
      </c>
      <c r="O212" s="155">
        <f t="shared" si="271"/>
        <v>0.47882018677760008</v>
      </c>
      <c r="P212" s="155">
        <v>0.1</v>
      </c>
      <c r="Q212" s="155">
        <v>2.1999999999999999E-2</v>
      </c>
      <c r="R212" s="155">
        <f t="shared" si="296"/>
        <v>2.3056E-2</v>
      </c>
      <c r="S212" s="155">
        <f t="shared" si="297"/>
        <v>2.4254912E-2</v>
      </c>
      <c r="T212" s="155">
        <f t="shared" si="298"/>
        <v>2.5273618304E-2</v>
      </c>
      <c r="U212" s="155">
        <f t="shared" si="298"/>
        <v>2.6335110272768001E-2</v>
      </c>
      <c r="V212" s="155">
        <v>1</v>
      </c>
      <c r="W212" s="155">
        <v>1</v>
      </c>
      <c r="X212" s="155">
        <v>1</v>
      </c>
      <c r="Y212" s="155">
        <v>1</v>
      </c>
      <c r="Z212" s="155">
        <v>1</v>
      </c>
      <c r="AA212" s="155">
        <v>1</v>
      </c>
      <c r="AB212" s="156">
        <f t="shared" si="299"/>
        <v>8333.3333333333339</v>
      </c>
      <c r="AC212" s="156">
        <f t="shared" si="299"/>
        <v>8000</v>
      </c>
      <c r="AD212" s="156">
        <f t="shared" si="299"/>
        <v>8520</v>
      </c>
      <c r="AE212" s="207">
        <f t="shared" si="287"/>
        <v>8937.48</v>
      </c>
      <c r="AF212" s="207">
        <f t="shared" si="288"/>
        <v>9339.6665999999987</v>
      </c>
      <c r="AG212" s="207">
        <f t="shared" si="289"/>
        <v>9713.253263999999</v>
      </c>
      <c r="AH212" s="156">
        <v>0.1</v>
      </c>
      <c r="AI212" s="156">
        <v>9.6000000000000002E-2</v>
      </c>
      <c r="AJ212" s="156">
        <f t="shared" si="267"/>
        <v>0.10224</v>
      </c>
      <c r="AK212" s="156">
        <f t="shared" si="293"/>
        <v>0.10724976</v>
      </c>
      <c r="AL212" s="156">
        <f t="shared" si="294"/>
        <v>0.11207599919999998</v>
      </c>
      <c r="AM212" s="156">
        <f t="shared" si="295"/>
        <v>0.11655903916799999</v>
      </c>
      <c r="AN212" s="4"/>
      <c r="AO212" s="4"/>
    </row>
    <row r="213" spans="1:41" s="35" customFormat="1" ht="15.75">
      <c r="A213" s="189" t="s">
        <v>377</v>
      </c>
      <c r="B213" s="184" t="s">
        <v>197</v>
      </c>
      <c r="C213" s="152"/>
      <c r="D213" s="191"/>
      <c r="E213" s="191"/>
      <c r="F213" s="191"/>
      <c r="G213" s="191"/>
      <c r="H213" s="191"/>
      <c r="I213" s="191"/>
      <c r="J213" s="155"/>
      <c r="K213" s="155">
        <v>0</v>
      </c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  <c r="AA213" s="155"/>
      <c r="AB213" s="156"/>
      <c r="AC213" s="156"/>
      <c r="AD213" s="156"/>
      <c r="AE213" s="207"/>
      <c r="AF213" s="207"/>
      <c r="AG213" s="207"/>
      <c r="AH213" s="156"/>
      <c r="AI213" s="156"/>
      <c r="AJ213" s="156">
        <f t="shared" si="267"/>
        <v>0</v>
      </c>
      <c r="AK213" s="156">
        <f t="shared" si="293"/>
        <v>0</v>
      </c>
      <c r="AL213" s="156">
        <f t="shared" si="294"/>
        <v>0</v>
      </c>
      <c r="AM213" s="156">
        <f t="shared" si="295"/>
        <v>0</v>
      </c>
      <c r="AN213" s="4"/>
      <c r="AO213" s="4"/>
    </row>
    <row r="214" spans="1:41" s="35" customFormat="1" ht="15.75">
      <c r="A214" s="189" t="s">
        <v>311</v>
      </c>
      <c r="B214" s="184"/>
      <c r="C214" s="152"/>
      <c r="D214" s="191"/>
      <c r="E214" s="191"/>
      <c r="F214" s="191"/>
      <c r="G214" s="191"/>
      <c r="H214" s="191"/>
      <c r="I214" s="191"/>
      <c r="J214" s="155"/>
      <c r="K214" s="155">
        <v>0.45140000000000002</v>
      </c>
      <c r="L214" s="155">
        <f t="shared" si="261"/>
        <v>0.47306720000000002</v>
      </c>
      <c r="M214" s="155">
        <f t="shared" si="262"/>
        <v>0.49766669440000005</v>
      </c>
      <c r="N214" s="155">
        <f t="shared" si="271"/>
        <v>0.51856869556480012</v>
      </c>
      <c r="O214" s="155">
        <f t="shared" si="271"/>
        <v>0.54034858077852177</v>
      </c>
      <c r="P214" s="155"/>
      <c r="Q214" s="155">
        <v>-4.3499999999999997E-2</v>
      </c>
      <c r="R214" s="155">
        <f t="shared" ref="R214:R220" si="300">Q214*1.048</f>
        <v>-4.5587999999999997E-2</v>
      </c>
      <c r="S214" s="155">
        <f t="shared" ref="S214:S220" si="301">R214*1.052</f>
        <v>-4.7958575999999996E-2</v>
      </c>
      <c r="T214" s="155">
        <f t="shared" ref="T214:T220" si="302">S214*1.042</f>
        <v>-4.9972836191999999E-2</v>
      </c>
      <c r="U214" s="155">
        <f t="shared" si="298"/>
        <v>-5.2071695312064001E-2</v>
      </c>
      <c r="V214" s="155"/>
      <c r="W214" s="155">
        <v>14</v>
      </c>
      <c r="X214" s="155">
        <v>14</v>
      </c>
      <c r="Y214" s="155">
        <v>14</v>
      </c>
      <c r="Z214" s="155">
        <v>14</v>
      </c>
      <c r="AA214" s="155">
        <v>14</v>
      </c>
      <c r="AB214" s="156"/>
      <c r="AC214" s="156">
        <f t="shared" si="299"/>
        <v>1757.7380952380952</v>
      </c>
      <c r="AD214" s="156">
        <f t="shared" si="299"/>
        <v>1871.9910714285716</v>
      </c>
      <c r="AE214" s="207">
        <f t="shared" si="287"/>
        <v>1963.7186339285715</v>
      </c>
      <c r="AF214" s="207">
        <f t="shared" si="288"/>
        <v>2052.085972455357</v>
      </c>
      <c r="AG214" s="207">
        <f t="shared" si="289"/>
        <v>2134.1694113535714</v>
      </c>
      <c r="AH214" s="156"/>
      <c r="AI214" s="156">
        <v>0.29530000000000001</v>
      </c>
      <c r="AJ214" s="156">
        <f t="shared" si="267"/>
        <v>0.31449450000000001</v>
      </c>
      <c r="AK214" s="156">
        <f t="shared" si="293"/>
        <v>0.32990473050000008</v>
      </c>
      <c r="AL214" s="156">
        <f t="shared" si="294"/>
        <v>0.34475044337249994</v>
      </c>
      <c r="AM214" s="156">
        <f t="shared" si="295"/>
        <v>0.35854046110740001</v>
      </c>
      <c r="AN214" s="4"/>
      <c r="AO214" s="4"/>
    </row>
    <row r="215" spans="1:41" s="35" customFormat="1" ht="15.75">
      <c r="A215" s="189" t="s">
        <v>378</v>
      </c>
      <c r="B215" s="184"/>
      <c r="C215" s="152"/>
      <c r="D215" s="191"/>
      <c r="E215" s="191"/>
      <c r="F215" s="191"/>
      <c r="G215" s="191"/>
      <c r="H215" s="191"/>
      <c r="I215" s="191"/>
      <c r="J215" s="155"/>
      <c r="K215" s="155">
        <v>0.36299999999999999</v>
      </c>
      <c r="L215" s="155">
        <f t="shared" si="261"/>
        <v>0.38042399999999998</v>
      </c>
      <c r="M215" s="155">
        <f t="shared" si="262"/>
        <v>0.40020604799999998</v>
      </c>
      <c r="N215" s="155">
        <f t="shared" si="271"/>
        <v>0.41701470201599999</v>
      </c>
      <c r="O215" s="155">
        <f t="shared" si="271"/>
        <v>0.43452931950067203</v>
      </c>
      <c r="P215" s="155"/>
      <c r="Q215" s="155">
        <v>2.7E-2</v>
      </c>
      <c r="R215" s="155">
        <f t="shared" si="300"/>
        <v>2.8296000000000002E-2</v>
      </c>
      <c r="S215" s="155">
        <f t="shared" si="301"/>
        <v>2.9767392000000004E-2</v>
      </c>
      <c r="T215" s="155">
        <f t="shared" si="302"/>
        <v>3.1017622464000003E-2</v>
      </c>
      <c r="U215" s="155">
        <f t="shared" si="298"/>
        <v>3.2320362607488003E-2</v>
      </c>
      <c r="V215" s="155"/>
      <c r="W215" s="155">
        <v>2</v>
      </c>
      <c r="X215" s="155">
        <v>2</v>
      </c>
      <c r="Y215" s="155">
        <v>2</v>
      </c>
      <c r="Z215" s="155">
        <v>2</v>
      </c>
      <c r="AA215" s="155">
        <v>2</v>
      </c>
      <c r="AB215" s="156"/>
      <c r="AC215" s="156">
        <f t="shared" si="299"/>
        <v>4833.333333333333</v>
      </c>
      <c r="AD215" s="156">
        <f t="shared" si="299"/>
        <v>5147.5</v>
      </c>
      <c r="AE215" s="207">
        <f t="shared" si="287"/>
        <v>5399.7275</v>
      </c>
      <c r="AF215" s="207">
        <f t="shared" si="288"/>
        <v>5642.7152374999996</v>
      </c>
      <c r="AG215" s="207">
        <f t="shared" si="289"/>
        <v>5868.423847</v>
      </c>
      <c r="AH215" s="156"/>
      <c r="AI215" s="156">
        <v>0.11600000000000001</v>
      </c>
      <c r="AJ215" s="156">
        <f t="shared" si="267"/>
        <v>0.12354</v>
      </c>
      <c r="AK215" s="156">
        <f t="shared" si="293"/>
        <v>0.12959345999999999</v>
      </c>
      <c r="AL215" s="156">
        <f t="shared" si="294"/>
        <v>0.13542516569999999</v>
      </c>
      <c r="AM215" s="156">
        <f t="shared" si="295"/>
        <v>0.140842172328</v>
      </c>
      <c r="AN215" s="4"/>
      <c r="AO215" s="4"/>
    </row>
    <row r="216" spans="1:41" s="35" customFormat="1" ht="15.75">
      <c r="A216" s="181" t="s">
        <v>379</v>
      </c>
      <c r="B216" s="182"/>
      <c r="C216" s="152"/>
      <c r="D216" s="191"/>
      <c r="E216" s="191"/>
      <c r="F216" s="191"/>
      <c r="G216" s="191"/>
      <c r="H216" s="191"/>
      <c r="I216" s="191"/>
      <c r="J216" s="155">
        <v>0.6</v>
      </c>
      <c r="K216" s="155">
        <v>0.57499999999999996</v>
      </c>
      <c r="L216" s="155">
        <f t="shared" si="261"/>
        <v>0.60260000000000002</v>
      </c>
      <c r="M216" s="155">
        <f t="shared" si="262"/>
        <v>0.63393520000000003</v>
      </c>
      <c r="N216" s="155">
        <f t="shared" si="271"/>
        <v>0.6605604784000001</v>
      </c>
      <c r="O216" s="155">
        <f t="shared" si="271"/>
        <v>0.6883040184928001</v>
      </c>
      <c r="P216" s="155">
        <v>0</v>
      </c>
      <c r="Q216" s="155">
        <v>2.5000000000000001E-2</v>
      </c>
      <c r="R216" s="155">
        <f t="shared" si="300"/>
        <v>2.6200000000000001E-2</v>
      </c>
      <c r="S216" s="155">
        <f t="shared" si="301"/>
        <v>2.7562400000000001E-2</v>
      </c>
      <c r="T216" s="155">
        <f t="shared" si="302"/>
        <v>2.8720020800000003E-2</v>
      </c>
      <c r="U216" s="155">
        <f t="shared" si="298"/>
        <v>2.9926261673600005E-2</v>
      </c>
      <c r="V216" s="155">
        <v>8</v>
      </c>
      <c r="W216" s="155">
        <v>7</v>
      </c>
      <c r="X216" s="155">
        <v>7</v>
      </c>
      <c r="Y216" s="155">
        <v>7</v>
      </c>
      <c r="Z216" s="155">
        <v>7</v>
      </c>
      <c r="AA216" s="155">
        <v>7</v>
      </c>
      <c r="AB216" s="156">
        <f t="shared" si="299"/>
        <v>5208.333333333333</v>
      </c>
      <c r="AC216" s="156">
        <f t="shared" si="299"/>
        <v>10367.857142857143</v>
      </c>
      <c r="AD216" s="156">
        <f t="shared" si="299"/>
        <v>11041.767857142857</v>
      </c>
      <c r="AE216" s="207">
        <f t="shared" si="287"/>
        <v>11582.814482142856</v>
      </c>
      <c r="AF216" s="207">
        <f t="shared" si="288"/>
        <v>12104.041133839284</v>
      </c>
      <c r="AG216" s="207">
        <f t="shared" si="289"/>
        <v>12588.202779192856</v>
      </c>
      <c r="AH216" s="156">
        <v>0.5</v>
      </c>
      <c r="AI216" s="156">
        <v>0.87090000000000001</v>
      </c>
      <c r="AJ216" s="156">
        <f t="shared" si="267"/>
        <v>0.92750849999999996</v>
      </c>
      <c r="AK216" s="156">
        <f t="shared" si="293"/>
        <v>0.97295641649999987</v>
      </c>
      <c r="AL216" s="156">
        <f t="shared" si="294"/>
        <v>1.0167394552424998</v>
      </c>
      <c r="AM216" s="156">
        <f t="shared" si="295"/>
        <v>1.0574090334521997</v>
      </c>
      <c r="AN216" s="4"/>
      <c r="AO216" s="4"/>
    </row>
    <row r="217" spans="1:41" s="35" customFormat="1" ht="15.75">
      <c r="A217" s="181" t="s">
        <v>380</v>
      </c>
      <c r="B217" s="182"/>
      <c r="C217" s="152"/>
      <c r="D217" s="191"/>
      <c r="E217" s="191"/>
      <c r="F217" s="191"/>
      <c r="G217" s="191"/>
      <c r="H217" s="191"/>
      <c r="I217" s="191"/>
      <c r="J217" s="155">
        <v>34.200000000000003</v>
      </c>
      <c r="K217" s="155">
        <v>23.165400000000002</v>
      </c>
      <c r="L217" s="155">
        <f t="shared" si="261"/>
        <v>24.277339200000004</v>
      </c>
      <c r="M217" s="155">
        <f t="shared" si="262"/>
        <v>25.539760838400007</v>
      </c>
      <c r="N217" s="155">
        <f t="shared" si="271"/>
        <v>26.612430793612809</v>
      </c>
      <c r="O217" s="155">
        <f t="shared" si="271"/>
        <v>27.730152886944548</v>
      </c>
      <c r="P217" s="155">
        <v>6</v>
      </c>
      <c r="Q217" s="155">
        <v>-1.4618</v>
      </c>
      <c r="R217" s="155">
        <f t="shared" si="300"/>
        <v>-1.5319664</v>
      </c>
      <c r="S217" s="155">
        <f t="shared" si="301"/>
        <v>-1.6116286528000001</v>
      </c>
      <c r="T217" s="155">
        <f t="shared" si="302"/>
        <v>-1.6793170562176001</v>
      </c>
      <c r="U217" s="155">
        <f t="shared" si="298"/>
        <v>-1.7498483725787393</v>
      </c>
      <c r="V217" s="155">
        <v>29</v>
      </c>
      <c r="W217" s="155">
        <v>28</v>
      </c>
      <c r="X217" s="155">
        <v>28</v>
      </c>
      <c r="Y217" s="155">
        <v>28</v>
      </c>
      <c r="Z217" s="155">
        <v>28</v>
      </c>
      <c r="AA217" s="155">
        <v>28</v>
      </c>
      <c r="AB217" s="156">
        <f t="shared" si="299"/>
        <v>47413.793103448283</v>
      </c>
      <c r="AC217" s="156">
        <f t="shared" si="299"/>
        <v>38534.226190476191</v>
      </c>
      <c r="AD217" s="156">
        <f t="shared" si="299"/>
        <v>41038.950892857138</v>
      </c>
      <c r="AE217" s="207">
        <f t="shared" si="287"/>
        <v>43049.859486607136</v>
      </c>
      <c r="AF217" s="207">
        <f t="shared" si="288"/>
        <v>44987.103163504456</v>
      </c>
      <c r="AG217" s="207">
        <f t="shared" si="289"/>
        <v>46786.587290044634</v>
      </c>
      <c r="AH217" s="156">
        <v>16.5</v>
      </c>
      <c r="AI217" s="156">
        <v>12.9475</v>
      </c>
      <c r="AJ217" s="156">
        <f t="shared" si="267"/>
        <v>13.789087499999999</v>
      </c>
      <c r="AK217" s="156">
        <f t="shared" si="293"/>
        <v>14.464752787499998</v>
      </c>
      <c r="AL217" s="156">
        <f t="shared" si="294"/>
        <v>15.115666662937498</v>
      </c>
      <c r="AM217" s="156">
        <f t="shared" si="295"/>
        <v>15.720293329454996</v>
      </c>
      <c r="AN217" s="4"/>
      <c r="AO217" s="4"/>
    </row>
    <row r="218" spans="1:41" s="35" customFormat="1" ht="15.75">
      <c r="A218" s="181" t="s">
        <v>381</v>
      </c>
      <c r="B218" s="182"/>
      <c r="C218" s="152"/>
      <c r="D218" s="191"/>
      <c r="E218" s="191"/>
      <c r="F218" s="191"/>
      <c r="G218" s="191"/>
      <c r="H218" s="191"/>
      <c r="I218" s="191"/>
      <c r="J218" s="155"/>
      <c r="K218" s="155">
        <v>0.84819999999999995</v>
      </c>
      <c r="L218" s="155">
        <f t="shared" si="261"/>
        <v>0.88891359999999997</v>
      </c>
      <c r="M218" s="155">
        <f t="shared" si="262"/>
        <v>0.93513710719999998</v>
      </c>
      <c r="N218" s="155">
        <f t="shared" si="271"/>
        <v>0.97441286570240004</v>
      </c>
      <c r="O218" s="155">
        <f t="shared" si="271"/>
        <v>1.0153382060619009</v>
      </c>
      <c r="P218" s="155"/>
      <c r="Q218" s="155">
        <v>1.8200000000000001E-2</v>
      </c>
      <c r="R218" s="155">
        <f t="shared" si="300"/>
        <v>1.9073600000000003E-2</v>
      </c>
      <c r="S218" s="155">
        <f t="shared" si="301"/>
        <v>2.0065427200000003E-2</v>
      </c>
      <c r="T218" s="155">
        <f t="shared" si="302"/>
        <v>2.0908175142400003E-2</v>
      </c>
      <c r="U218" s="155">
        <f t="shared" si="298"/>
        <v>2.1786318498380804E-2</v>
      </c>
      <c r="V218" s="155"/>
      <c r="W218" s="155">
        <v>4</v>
      </c>
      <c r="X218" s="155">
        <v>4</v>
      </c>
      <c r="Y218" s="155">
        <v>4</v>
      </c>
      <c r="Z218" s="155">
        <v>4</v>
      </c>
      <c r="AA218" s="155">
        <v>4</v>
      </c>
      <c r="AB218" s="156"/>
      <c r="AC218" s="156">
        <f t="shared" si="299"/>
        <v>9583.3333333333339</v>
      </c>
      <c r="AD218" s="156">
        <f t="shared" si="299"/>
        <v>10206.25</v>
      </c>
      <c r="AE218" s="207">
        <f t="shared" si="287"/>
        <v>10706.356249999999</v>
      </c>
      <c r="AF218" s="207">
        <f t="shared" si="288"/>
        <v>11188.142281249999</v>
      </c>
      <c r="AG218" s="207">
        <f t="shared" si="289"/>
        <v>11635.667972499999</v>
      </c>
      <c r="AH218" s="156"/>
      <c r="AI218" s="156">
        <v>0.46</v>
      </c>
      <c r="AJ218" s="156">
        <f t="shared" si="267"/>
        <v>0.4899</v>
      </c>
      <c r="AK218" s="156">
        <f t="shared" si="293"/>
        <v>0.5139051</v>
      </c>
      <c r="AL218" s="156">
        <f t="shared" si="294"/>
        <v>0.53703082950000003</v>
      </c>
      <c r="AM218" s="156">
        <f t="shared" si="295"/>
        <v>0.55851206267999998</v>
      </c>
      <c r="AN218" s="4"/>
      <c r="AO218" s="4"/>
    </row>
    <row r="219" spans="1:41" s="35" customFormat="1" ht="15.75">
      <c r="A219" s="181" t="s">
        <v>382</v>
      </c>
      <c r="B219" s="182"/>
      <c r="C219" s="152"/>
      <c r="D219" s="191"/>
      <c r="E219" s="191"/>
      <c r="F219" s="191"/>
      <c r="G219" s="191"/>
      <c r="H219" s="191"/>
      <c r="I219" s="191"/>
      <c r="J219" s="155">
        <v>36.6</v>
      </c>
      <c r="K219" s="155">
        <v>34.066000000000003</v>
      </c>
      <c r="L219" s="155">
        <f t="shared" si="261"/>
        <v>35.701168000000003</v>
      </c>
      <c r="M219" s="155">
        <f t="shared" si="262"/>
        <v>37.557628736000005</v>
      </c>
      <c r="N219" s="155">
        <f t="shared" si="271"/>
        <v>39.13504914291201</v>
      </c>
      <c r="O219" s="155">
        <f t="shared" si="271"/>
        <v>40.778721206914312</v>
      </c>
      <c r="P219" s="155">
        <v>0.41</v>
      </c>
      <c r="Q219" s="155">
        <v>2.7410999999999999</v>
      </c>
      <c r="R219" s="155">
        <f t="shared" si="300"/>
        <v>2.8726728000000001</v>
      </c>
      <c r="S219" s="155">
        <f t="shared" si="301"/>
        <v>3.0220517856000004</v>
      </c>
      <c r="T219" s="155">
        <f t="shared" si="302"/>
        <v>3.1489779605952006</v>
      </c>
      <c r="U219" s="155">
        <f t="shared" si="298"/>
        <v>3.2812350349401993</v>
      </c>
      <c r="V219" s="155">
        <v>38</v>
      </c>
      <c r="W219" s="155">
        <v>53</v>
      </c>
      <c r="X219" s="155">
        <v>52</v>
      </c>
      <c r="Y219" s="155">
        <v>52</v>
      </c>
      <c r="Z219" s="155">
        <v>52</v>
      </c>
      <c r="AA219" s="155">
        <v>52</v>
      </c>
      <c r="AB219" s="156">
        <f t="shared" si="299"/>
        <v>17543.859649122805</v>
      </c>
      <c r="AC219" s="156">
        <f t="shared" si="299"/>
        <v>18477.044025157233</v>
      </c>
      <c r="AD219" s="156">
        <f t="shared" si="299"/>
        <v>20056.475961538461</v>
      </c>
      <c r="AE219" s="207">
        <f t="shared" si="287"/>
        <v>21039.243283653843</v>
      </c>
      <c r="AF219" s="207">
        <f t="shared" si="288"/>
        <v>21986.009231418266</v>
      </c>
      <c r="AG219" s="207">
        <f t="shared" si="289"/>
        <v>22865.449600674998</v>
      </c>
      <c r="AH219" s="156">
        <v>8</v>
      </c>
      <c r="AI219" s="156">
        <v>11.7514</v>
      </c>
      <c r="AJ219" s="156">
        <f t="shared" si="267"/>
        <v>12.515241</v>
      </c>
      <c r="AK219" s="156">
        <f t="shared" si="293"/>
        <v>13.128487808999997</v>
      </c>
      <c r="AL219" s="156">
        <f t="shared" si="294"/>
        <v>13.719269760404996</v>
      </c>
      <c r="AM219" s="156">
        <f t="shared" si="295"/>
        <v>14.268040550821199</v>
      </c>
      <c r="AN219" s="4"/>
      <c r="AO219" s="4"/>
    </row>
    <row r="220" spans="1:41" s="35" customFormat="1" ht="15.75">
      <c r="A220" s="181" t="s">
        <v>383</v>
      </c>
      <c r="B220" s="182"/>
      <c r="C220" s="152"/>
      <c r="D220" s="191"/>
      <c r="E220" s="191"/>
      <c r="F220" s="191"/>
      <c r="G220" s="191"/>
      <c r="H220" s="191"/>
      <c r="I220" s="191"/>
      <c r="J220" s="155">
        <v>26.1</v>
      </c>
      <c r="K220" s="155">
        <v>15.294</v>
      </c>
      <c r="L220" s="155">
        <f t="shared" si="261"/>
        <v>16.028112</v>
      </c>
      <c r="M220" s="155">
        <f t="shared" si="262"/>
        <v>16.861573824000001</v>
      </c>
      <c r="N220" s="155">
        <f t="shared" si="271"/>
        <v>17.569759924608</v>
      </c>
      <c r="O220" s="155">
        <f t="shared" si="271"/>
        <v>18.307689841441537</v>
      </c>
      <c r="P220" s="155">
        <v>1.6</v>
      </c>
      <c r="Q220" s="155">
        <v>0.503</v>
      </c>
      <c r="R220" s="155">
        <f t="shared" si="300"/>
        <v>0.52714400000000006</v>
      </c>
      <c r="S220" s="155">
        <f t="shared" si="301"/>
        <v>0.5545554880000001</v>
      </c>
      <c r="T220" s="155">
        <f t="shared" si="302"/>
        <v>0.57784681849600017</v>
      </c>
      <c r="U220" s="155">
        <f t="shared" si="298"/>
        <v>0.60211638487283214</v>
      </c>
      <c r="V220" s="155">
        <v>43</v>
      </c>
      <c r="W220" s="155">
        <v>27</v>
      </c>
      <c r="X220" s="155">
        <v>21</v>
      </c>
      <c r="Y220" s="155">
        <v>21</v>
      </c>
      <c r="Z220" s="155">
        <v>21</v>
      </c>
      <c r="AA220" s="155">
        <v>21</v>
      </c>
      <c r="AB220" s="156">
        <f t="shared" si="299"/>
        <v>18410.852713178294</v>
      </c>
      <c r="AC220" s="156">
        <f t="shared" si="299"/>
        <v>26466.358024691359</v>
      </c>
      <c r="AD220" s="156">
        <f t="shared" si="299"/>
        <v>36240.005952380954</v>
      </c>
      <c r="AE220" s="207">
        <f t="shared" si="287"/>
        <v>38015.76624404762</v>
      </c>
      <c r="AF220" s="207">
        <f t="shared" si="288"/>
        <v>39726.475725029763</v>
      </c>
      <c r="AG220" s="207">
        <f t="shared" si="289"/>
        <v>41315.534754030952</v>
      </c>
      <c r="AH220" s="156">
        <v>9.5</v>
      </c>
      <c r="AI220" s="156">
        <v>8.5751000000000008</v>
      </c>
      <c r="AJ220" s="156">
        <f t="shared" si="267"/>
        <v>9.1324815000000008</v>
      </c>
      <c r="AK220" s="156">
        <f t="shared" si="293"/>
        <v>9.5799730934999996</v>
      </c>
      <c r="AL220" s="156">
        <f t="shared" si="294"/>
        <v>10.011071882707499</v>
      </c>
      <c r="AM220" s="156">
        <f t="shared" si="295"/>
        <v>10.4115147580158</v>
      </c>
      <c r="AN220" s="4"/>
      <c r="AO220" s="4"/>
    </row>
    <row r="221" spans="1:41" s="35" customFormat="1" ht="33" customHeight="1">
      <c r="A221" s="181" t="s">
        <v>384</v>
      </c>
      <c r="B221" s="182" t="s">
        <v>385</v>
      </c>
      <c r="C221" s="152"/>
      <c r="D221" s="191"/>
      <c r="E221" s="191"/>
      <c r="F221" s="191"/>
      <c r="G221" s="191"/>
      <c r="H221" s="191"/>
      <c r="I221" s="191"/>
      <c r="J221" s="155">
        <v>22</v>
      </c>
      <c r="K221" s="155">
        <v>0</v>
      </c>
      <c r="L221" s="155"/>
      <c r="M221" s="155"/>
      <c r="N221" s="155"/>
      <c r="O221" s="155"/>
      <c r="P221" s="155">
        <v>0.1</v>
      </c>
      <c r="Q221" s="155"/>
      <c r="R221" s="155"/>
      <c r="S221" s="155"/>
      <c r="T221" s="155"/>
      <c r="U221" s="155"/>
      <c r="V221" s="155">
        <v>47</v>
      </c>
      <c r="W221" s="155"/>
      <c r="X221" s="155"/>
      <c r="Y221" s="155"/>
      <c r="Z221" s="155"/>
      <c r="AA221" s="155"/>
      <c r="AB221" s="156">
        <f t="shared" si="299"/>
        <v>12056.737588652482</v>
      </c>
      <c r="AC221" s="156"/>
      <c r="AD221" s="156"/>
      <c r="AE221" s="207"/>
      <c r="AF221" s="207"/>
      <c r="AG221" s="207"/>
      <c r="AH221" s="156">
        <v>6.8</v>
      </c>
      <c r="AI221" s="156"/>
      <c r="AJ221" s="156"/>
      <c r="AK221" s="156"/>
      <c r="AL221" s="156"/>
      <c r="AM221" s="156"/>
      <c r="AN221" s="4"/>
      <c r="AO221" s="4"/>
    </row>
    <row r="222" spans="1:41" s="35" customFormat="1" ht="32.25" customHeight="1">
      <c r="A222" s="181" t="s">
        <v>386</v>
      </c>
      <c r="B222" s="182"/>
      <c r="C222" s="152"/>
      <c r="D222" s="191"/>
      <c r="E222" s="191"/>
      <c r="F222" s="191"/>
      <c r="G222" s="191"/>
      <c r="H222" s="191"/>
      <c r="I222" s="191"/>
      <c r="J222" s="155"/>
      <c r="K222" s="155">
        <v>21.096599999999999</v>
      </c>
      <c r="L222" s="155">
        <f t="shared" si="261"/>
        <v>22.109236799999998</v>
      </c>
      <c r="M222" s="155">
        <f t="shared" si="262"/>
        <v>23.258917113599999</v>
      </c>
      <c r="N222" s="155">
        <f t="shared" si="271"/>
        <v>24.2357916323712</v>
      </c>
      <c r="O222" s="155">
        <f t="shared" si="271"/>
        <v>25.253694880930791</v>
      </c>
      <c r="P222" s="155"/>
      <c r="Q222" s="155">
        <v>0.126</v>
      </c>
      <c r="R222" s="155">
        <f t="shared" ref="R222:R225" si="303">Q222*1.048</f>
        <v>0.132048</v>
      </c>
      <c r="S222" s="155">
        <f t="shared" ref="S222:S225" si="304">R222*1.052</f>
        <v>0.138914496</v>
      </c>
      <c r="T222" s="155">
        <f t="shared" ref="T222:U229" si="305">S222*1.042</f>
        <v>0.14474890483200001</v>
      </c>
      <c r="U222" s="155">
        <f t="shared" si="298"/>
        <v>0.15082835883494403</v>
      </c>
      <c r="V222" s="155"/>
      <c r="W222" s="155">
        <v>55</v>
      </c>
      <c r="X222" s="155">
        <v>41</v>
      </c>
      <c r="Y222" s="155">
        <v>41</v>
      </c>
      <c r="Z222" s="155">
        <v>41</v>
      </c>
      <c r="AA222" s="155">
        <v>41</v>
      </c>
      <c r="AB222" s="156"/>
      <c r="AC222" s="156">
        <f t="shared" si="299"/>
        <v>12583.636363636362</v>
      </c>
      <c r="AD222" s="156">
        <f t="shared" si="299"/>
        <v>17977.719512195119</v>
      </c>
      <c r="AE222" s="207">
        <f t="shared" si="287"/>
        <v>18858.627768292678</v>
      </c>
      <c r="AF222" s="207">
        <f t="shared" si="288"/>
        <v>19707.266017865848</v>
      </c>
      <c r="AG222" s="207">
        <f t="shared" si="289"/>
        <v>20495.556658580481</v>
      </c>
      <c r="AH222" s="156"/>
      <c r="AI222" s="156">
        <v>8.3051999999999992</v>
      </c>
      <c r="AJ222" s="156">
        <f t="shared" si="267"/>
        <v>8.8450379999999988</v>
      </c>
      <c r="AK222" s="156">
        <f t="shared" ref="AK222" si="306">AE222*Y222*12/1000000</f>
        <v>9.2784448619999953</v>
      </c>
      <c r="AL222" s="156">
        <f t="shared" ref="AL222" si="307">AF222*Z222*12/1000000</f>
        <v>9.695974880789997</v>
      </c>
      <c r="AM222" s="156">
        <f t="shared" ref="AM222" si="308">AG222*AA222*12/1000000</f>
        <v>10.083813876021598</v>
      </c>
      <c r="AN222" s="4"/>
      <c r="AO222" s="4"/>
    </row>
    <row r="223" spans="1:41" s="35" customFormat="1" ht="16.5">
      <c r="A223" s="192" t="s">
        <v>387</v>
      </c>
      <c r="B223" s="193"/>
      <c r="C223" s="152"/>
      <c r="D223" s="191"/>
      <c r="E223" s="191"/>
      <c r="F223" s="191"/>
      <c r="G223" s="191"/>
      <c r="H223" s="191"/>
      <c r="I223" s="191"/>
      <c r="J223" s="155">
        <v>2.9</v>
      </c>
      <c r="K223" s="155">
        <v>2.605</v>
      </c>
      <c r="L223" s="155">
        <f t="shared" si="261"/>
        <v>2.7300400000000002</v>
      </c>
      <c r="M223" s="155">
        <f t="shared" si="262"/>
        <v>2.8720020800000006</v>
      </c>
      <c r="N223" s="155">
        <f t="shared" si="271"/>
        <v>2.9926261673600005</v>
      </c>
      <c r="O223" s="155">
        <f t="shared" si="271"/>
        <v>3.1183164663891207</v>
      </c>
      <c r="P223" s="155">
        <v>0.3</v>
      </c>
      <c r="Q223" s="155">
        <v>0.20300000000000001</v>
      </c>
      <c r="R223" s="155">
        <f t="shared" si="303"/>
        <v>0.21274400000000002</v>
      </c>
      <c r="S223" s="155">
        <f t="shared" si="304"/>
        <v>0.22380668800000003</v>
      </c>
      <c r="T223" s="155">
        <f t="shared" si="305"/>
        <v>0.23320656889600005</v>
      </c>
      <c r="U223" s="155">
        <f t="shared" si="305"/>
        <v>0.24300124478963206</v>
      </c>
      <c r="V223" s="155">
        <v>7</v>
      </c>
      <c r="W223" s="155">
        <v>7</v>
      </c>
      <c r="X223" s="155">
        <v>7</v>
      </c>
      <c r="Y223" s="155">
        <v>7</v>
      </c>
      <c r="Z223" s="155">
        <v>7</v>
      </c>
      <c r="AA223" s="155">
        <v>7</v>
      </c>
      <c r="AB223" s="156">
        <f t="shared" si="299"/>
        <v>15476.190476190475</v>
      </c>
      <c r="AC223" s="156">
        <f t="shared" si="299"/>
        <v>16972.61904761905</v>
      </c>
      <c r="AD223" s="156">
        <f t="shared" si="299"/>
        <v>18075.839285714283</v>
      </c>
      <c r="AE223" s="207">
        <f t="shared" si="287"/>
        <v>18961.555410714282</v>
      </c>
      <c r="AF223" s="207">
        <f t="shared" si="288"/>
        <v>19814.825404196425</v>
      </c>
      <c r="AG223" s="207">
        <f t="shared" si="289"/>
        <v>20607.418420364284</v>
      </c>
      <c r="AH223" s="156">
        <v>1.3</v>
      </c>
      <c r="AI223" s="156">
        <v>1.4257</v>
      </c>
      <c r="AJ223" s="156">
        <f t="shared" si="267"/>
        <v>1.5183704999999998</v>
      </c>
      <c r="AK223" s="156">
        <f t="shared" ref="AK223:AK230" si="309">AE223*Y223*12/1000000</f>
        <v>1.5927706544999995</v>
      </c>
      <c r="AL223" s="156">
        <f t="shared" ref="AL223:AL230" si="310">AF223*Z223*12/1000000</f>
        <v>1.6644453339524996</v>
      </c>
      <c r="AM223" s="156">
        <f t="shared" ref="AM223:AM230" si="311">AG223*AA223*12/1000000</f>
        <v>1.7310231473105997</v>
      </c>
      <c r="AN223" s="4"/>
      <c r="AO223" s="4"/>
    </row>
    <row r="224" spans="1:41" s="35" customFormat="1" ht="15.75">
      <c r="A224" s="194" t="s">
        <v>388</v>
      </c>
      <c r="B224" s="182"/>
      <c r="C224" s="152"/>
      <c r="D224" s="191"/>
      <c r="E224" s="191"/>
      <c r="F224" s="191"/>
      <c r="G224" s="191"/>
      <c r="H224" s="191"/>
      <c r="I224" s="191"/>
      <c r="J224" s="155">
        <v>5.3</v>
      </c>
      <c r="K224" s="155">
        <v>5.2538</v>
      </c>
      <c r="L224" s="155">
        <f t="shared" si="261"/>
        <v>5.5059824000000006</v>
      </c>
      <c r="M224" s="155">
        <f t="shared" si="262"/>
        <v>5.7922934848000009</v>
      </c>
      <c r="N224" s="155">
        <f t="shared" si="271"/>
        <v>6.0355698111616016</v>
      </c>
      <c r="O224" s="155">
        <f t="shared" si="271"/>
        <v>6.2890637432303889</v>
      </c>
      <c r="P224" s="155">
        <v>0.3</v>
      </c>
      <c r="Q224" s="155">
        <v>2.4E-2</v>
      </c>
      <c r="R224" s="155">
        <f t="shared" si="303"/>
        <v>2.5152000000000001E-2</v>
      </c>
      <c r="S224" s="155">
        <f t="shared" si="304"/>
        <v>2.6459904000000003E-2</v>
      </c>
      <c r="T224" s="155">
        <f t="shared" si="305"/>
        <v>2.7571219968000004E-2</v>
      </c>
      <c r="U224" s="155">
        <f t="shared" si="305"/>
        <v>2.8729211206656006E-2</v>
      </c>
      <c r="V224" s="155">
        <v>6</v>
      </c>
      <c r="W224" s="155">
        <v>6</v>
      </c>
      <c r="X224" s="155">
        <v>6</v>
      </c>
      <c r="Y224" s="155">
        <v>6</v>
      </c>
      <c r="Z224" s="155">
        <v>6</v>
      </c>
      <c r="AA224" s="155">
        <v>6</v>
      </c>
      <c r="AB224" s="156">
        <f t="shared" si="299"/>
        <v>43055.555555555555</v>
      </c>
      <c r="AC224" s="156">
        <f t="shared" si="299"/>
        <v>41486.111111111109</v>
      </c>
      <c r="AD224" s="156">
        <f t="shared" si="299"/>
        <v>44182.708333333336</v>
      </c>
      <c r="AE224" s="207">
        <f t="shared" si="287"/>
        <v>46347.661041666666</v>
      </c>
      <c r="AF224" s="207">
        <f t="shared" si="288"/>
        <v>48433.305788541664</v>
      </c>
      <c r="AG224" s="207">
        <f t="shared" si="289"/>
        <v>50370.63802008333</v>
      </c>
      <c r="AH224" s="156">
        <v>3.1</v>
      </c>
      <c r="AI224" s="156">
        <v>2.9870000000000001</v>
      </c>
      <c r="AJ224" s="156">
        <f t="shared" si="267"/>
        <v>3.181155</v>
      </c>
      <c r="AK224" s="156">
        <f t="shared" si="309"/>
        <v>3.3370315949999996</v>
      </c>
      <c r="AL224" s="156">
        <f t="shared" si="310"/>
        <v>3.4871980167749994</v>
      </c>
      <c r="AM224" s="156">
        <f t="shared" si="311"/>
        <v>3.6266859374459997</v>
      </c>
      <c r="AN224" s="4"/>
      <c r="AO224" s="4"/>
    </row>
    <row r="225" spans="1:41" s="35" customFormat="1" ht="18" customHeight="1">
      <c r="A225" s="194" t="s">
        <v>389</v>
      </c>
      <c r="B225" s="182"/>
      <c r="C225" s="152"/>
      <c r="D225" s="191"/>
      <c r="E225" s="191"/>
      <c r="F225" s="191"/>
      <c r="G225" s="191"/>
      <c r="H225" s="191"/>
      <c r="I225" s="191"/>
      <c r="J225" s="155">
        <v>3.7</v>
      </c>
      <c r="K225" s="155">
        <v>4.383</v>
      </c>
      <c r="L225" s="155">
        <f t="shared" si="261"/>
        <v>4.5933840000000004</v>
      </c>
      <c r="M225" s="155">
        <f t="shared" si="262"/>
        <v>4.8322399680000006</v>
      </c>
      <c r="N225" s="155">
        <f t="shared" si="271"/>
        <v>5.0351940466560006</v>
      </c>
      <c r="O225" s="155">
        <f t="shared" si="271"/>
        <v>5.2466721966155525</v>
      </c>
      <c r="P225" s="155">
        <v>1.7</v>
      </c>
      <c r="Q225" s="155">
        <v>1.5760000000000001</v>
      </c>
      <c r="R225" s="155">
        <f t="shared" si="303"/>
        <v>1.6516480000000002</v>
      </c>
      <c r="S225" s="155">
        <f t="shared" si="304"/>
        <v>1.7375336960000003</v>
      </c>
      <c r="T225" s="155">
        <f t="shared" si="305"/>
        <v>1.8105101112320003</v>
      </c>
      <c r="U225" s="155">
        <f t="shared" si="305"/>
        <v>1.8865515359037444</v>
      </c>
      <c r="V225" s="155">
        <v>2</v>
      </c>
      <c r="W225" s="155">
        <v>2</v>
      </c>
      <c r="X225" s="155">
        <v>2</v>
      </c>
      <c r="Y225" s="155">
        <v>2</v>
      </c>
      <c r="Z225" s="155">
        <v>2</v>
      </c>
      <c r="AA225" s="155">
        <v>2</v>
      </c>
      <c r="AB225" s="156">
        <f t="shared" si="299"/>
        <v>33333.333333333336</v>
      </c>
      <c r="AC225" s="156">
        <f t="shared" si="299"/>
        <v>38595.833333333336</v>
      </c>
      <c r="AD225" s="156">
        <f t="shared" si="299"/>
        <v>41104.562499999993</v>
      </c>
      <c r="AE225" s="207">
        <f t="shared" si="287"/>
        <v>43118.68606249999</v>
      </c>
      <c r="AF225" s="207">
        <f t="shared" si="288"/>
        <v>45059.02693531249</v>
      </c>
      <c r="AG225" s="207">
        <f t="shared" si="289"/>
        <v>46861.388012724994</v>
      </c>
      <c r="AH225" s="156">
        <v>0.8</v>
      </c>
      <c r="AI225" s="156">
        <v>0.92630000000000001</v>
      </c>
      <c r="AJ225" s="156">
        <f t="shared" si="267"/>
        <v>0.98650949999999993</v>
      </c>
      <c r="AK225" s="156">
        <f t="shared" si="309"/>
        <v>1.0348484654999996</v>
      </c>
      <c r="AL225" s="156">
        <f t="shared" si="310"/>
        <v>1.0814166464474997</v>
      </c>
      <c r="AM225" s="156">
        <f t="shared" si="311"/>
        <v>1.1246733123054</v>
      </c>
      <c r="AN225" s="4"/>
      <c r="AO225" s="4"/>
    </row>
    <row r="226" spans="1:41" s="35" customFormat="1" ht="15.75">
      <c r="A226" s="194" t="s">
        <v>390</v>
      </c>
      <c r="B226" s="182"/>
      <c r="C226" s="152"/>
      <c r="D226" s="191"/>
      <c r="E226" s="191"/>
      <c r="F226" s="191"/>
      <c r="G226" s="191"/>
      <c r="H226" s="191"/>
      <c r="I226" s="191"/>
      <c r="J226" s="155">
        <v>0</v>
      </c>
      <c r="K226" s="155">
        <v>0</v>
      </c>
      <c r="L226" s="155"/>
      <c r="M226" s="155"/>
      <c r="N226" s="155"/>
      <c r="O226" s="155"/>
      <c r="P226" s="155">
        <v>0</v>
      </c>
      <c r="Q226" s="155">
        <v>0</v>
      </c>
      <c r="R226" s="155"/>
      <c r="S226" s="155"/>
      <c r="T226" s="155"/>
      <c r="U226" s="155"/>
      <c r="V226" s="155">
        <v>0</v>
      </c>
      <c r="W226" s="155"/>
      <c r="X226" s="155"/>
      <c r="Y226" s="155"/>
      <c r="Z226" s="155"/>
      <c r="AA226" s="155"/>
      <c r="AB226" s="156"/>
      <c r="AC226" s="156"/>
      <c r="AD226" s="156"/>
      <c r="AE226" s="207"/>
      <c r="AF226" s="207"/>
      <c r="AG226" s="207"/>
      <c r="AH226" s="156">
        <v>0</v>
      </c>
      <c r="AI226" s="156"/>
      <c r="AJ226" s="156">
        <f t="shared" si="267"/>
        <v>0</v>
      </c>
      <c r="AK226" s="156">
        <f t="shared" si="309"/>
        <v>0</v>
      </c>
      <c r="AL226" s="156">
        <f t="shared" si="310"/>
        <v>0</v>
      </c>
      <c r="AM226" s="156">
        <f t="shared" si="311"/>
        <v>0</v>
      </c>
      <c r="AN226" s="4"/>
      <c r="AO226" s="4"/>
    </row>
    <row r="227" spans="1:41" s="35" customFormat="1" ht="15.75">
      <c r="A227" s="181" t="s">
        <v>391</v>
      </c>
      <c r="B227" s="182"/>
      <c r="C227" s="152"/>
      <c r="D227" s="191"/>
      <c r="E227" s="191"/>
      <c r="F227" s="191"/>
      <c r="G227" s="191"/>
      <c r="H227" s="191"/>
      <c r="I227" s="191"/>
      <c r="J227" s="155">
        <v>3.4</v>
      </c>
      <c r="K227" s="155">
        <v>0</v>
      </c>
      <c r="L227" s="155"/>
      <c r="M227" s="155"/>
      <c r="N227" s="155"/>
      <c r="O227" s="155"/>
      <c r="P227" s="155">
        <v>0.3</v>
      </c>
      <c r="Q227" s="155">
        <v>0</v>
      </c>
      <c r="R227" s="155"/>
      <c r="S227" s="155"/>
      <c r="T227" s="155"/>
      <c r="U227" s="155"/>
      <c r="V227" s="155">
        <v>57</v>
      </c>
      <c r="W227" s="155"/>
      <c r="X227" s="155"/>
      <c r="Y227" s="155"/>
      <c r="Z227" s="155"/>
      <c r="AA227" s="155"/>
      <c r="AB227" s="156">
        <f t="shared" si="299"/>
        <v>4970.7602339181285</v>
      </c>
      <c r="AC227" s="156"/>
      <c r="AD227" s="156"/>
      <c r="AE227" s="207"/>
      <c r="AF227" s="207"/>
      <c r="AG227" s="207"/>
      <c r="AH227" s="156">
        <v>3.4</v>
      </c>
      <c r="AI227" s="156"/>
      <c r="AJ227" s="156">
        <f t="shared" si="267"/>
        <v>0</v>
      </c>
      <c r="AK227" s="156">
        <f t="shared" si="309"/>
        <v>0</v>
      </c>
      <c r="AL227" s="156">
        <f t="shared" si="310"/>
        <v>0</v>
      </c>
      <c r="AM227" s="156">
        <f t="shared" si="311"/>
        <v>0</v>
      </c>
      <c r="AN227" s="4"/>
      <c r="AO227" s="4"/>
    </row>
    <row r="228" spans="1:41" s="35" customFormat="1" ht="31.5">
      <c r="A228" s="194" t="s">
        <v>392</v>
      </c>
      <c r="B228" s="182"/>
      <c r="C228" s="152"/>
      <c r="D228" s="191"/>
      <c r="E228" s="191"/>
      <c r="F228" s="191"/>
      <c r="G228" s="191"/>
      <c r="H228" s="191"/>
      <c r="I228" s="191"/>
      <c r="J228" s="155">
        <v>1.8</v>
      </c>
      <c r="K228" s="155">
        <v>1.82</v>
      </c>
      <c r="L228" s="155">
        <f t="shared" si="261"/>
        <v>1.9073600000000002</v>
      </c>
      <c r="M228" s="155">
        <f t="shared" si="262"/>
        <v>2.0065427200000001</v>
      </c>
      <c r="N228" s="155">
        <f t="shared" si="271"/>
        <v>2.0908175142400003</v>
      </c>
      <c r="O228" s="155">
        <f t="shared" si="271"/>
        <v>2.1786318498380806</v>
      </c>
      <c r="P228" s="155">
        <v>0</v>
      </c>
      <c r="Q228" s="155">
        <v>0</v>
      </c>
      <c r="R228" s="155"/>
      <c r="S228" s="155"/>
      <c r="T228" s="155"/>
      <c r="U228" s="155"/>
      <c r="V228" s="155">
        <v>1</v>
      </c>
      <c r="W228" s="155">
        <v>2</v>
      </c>
      <c r="X228" s="155">
        <v>2</v>
      </c>
      <c r="Y228" s="155">
        <v>2</v>
      </c>
      <c r="Z228" s="155">
        <v>2</v>
      </c>
      <c r="AA228" s="155">
        <v>2</v>
      </c>
      <c r="AB228" s="156">
        <f t="shared" si="299"/>
        <v>41666.666666666664</v>
      </c>
      <c r="AC228" s="156">
        <f t="shared" si="299"/>
        <v>18250</v>
      </c>
      <c r="AD228" s="156">
        <f t="shared" si="299"/>
        <v>19436.25</v>
      </c>
      <c r="AE228" s="207">
        <f t="shared" si="287"/>
        <v>20388.626249999998</v>
      </c>
      <c r="AF228" s="207">
        <f t="shared" si="288"/>
        <v>21306.114431249996</v>
      </c>
      <c r="AG228" s="207">
        <f t="shared" si="289"/>
        <v>22158.359008499996</v>
      </c>
      <c r="AH228" s="156">
        <v>0.5</v>
      </c>
      <c r="AI228" s="156">
        <v>0.438</v>
      </c>
      <c r="AJ228" s="156">
        <f t="shared" si="267"/>
        <v>0.46647</v>
      </c>
      <c r="AK228" s="156">
        <f t="shared" si="309"/>
        <v>0.48932702999999989</v>
      </c>
      <c r="AL228" s="156">
        <f t="shared" si="310"/>
        <v>0.51134674634999988</v>
      </c>
      <c r="AM228" s="156">
        <f t="shared" si="311"/>
        <v>0.53180061620399988</v>
      </c>
      <c r="AN228" s="4"/>
      <c r="AO228" s="4"/>
    </row>
    <row r="229" spans="1:41" s="35" customFormat="1" ht="15.75">
      <c r="A229" s="195" t="s">
        <v>393</v>
      </c>
      <c r="B229" s="182"/>
      <c r="C229" s="152"/>
      <c r="D229" s="191"/>
      <c r="E229" s="191"/>
      <c r="F229" s="191"/>
      <c r="G229" s="191"/>
      <c r="H229" s="191"/>
      <c r="I229" s="191"/>
      <c r="J229" s="155"/>
      <c r="K229" s="155">
        <v>0.47699999999999998</v>
      </c>
      <c r="L229" s="155">
        <f t="shared" si="261"/>
        <v>0.49989600000000001</v>
      </c>
      <c r="M229" s="155">
        <f t="shared" si="262"/>
        <v>0.52589059199999999</v>
      </c>
      <c r="N229" s="155">
        <f t="shared" si="271"/>
        <v>0.54797799686400006</v>
      </c>
      <c r="O229" s="155">
        <f t="shared" si="271"/>
        <v>0.57099307273228805</v>
      </c>
      <c r="P229" s="155"/>
      <c r="Q229" s="155">
        <v>0.30499999999999999</v>
      </c>
      <c r="R229" s="155">
        <f t="shared" ref="R229" si="312">Q229*1.048</f>
        <v>0.31963999999999998</v>
      </c>
      <c r="S229" s="155">
        <f t="shared" ref="S229" si="313">R229*1.052</f>
        <v>0.33626128</v>
      </c>
      <c r="T229" s="155">
        <f t="shared" ref="T229" si="314">S229*1.042</f>
        <v>0.35038425375999999</v>
      </c>
      <c r="U229" s="155">
        <f t="shared" si="305"/>
        <v>0.36510039241791997</v>
      </c>
      <c r="V229" s="155"/>
      <c r="W229" s="155">
        <v>1</v>
      </c>
      <c r="X229" s="155">
        <v>1</v>
      </c>
      <c r="Y229" s="155">
        <v>1</v>
      </c>
      <c r="Z229" s="155">
        <v>1</v>
      </c>
      <c r="AA229" s="155">
        <v>1</v>
      </c>
      <c r="AB229" s="156"/>
      <c r="AC229" s="156">
        <f t="shared" si="299"/>
        <v>12666.666666666666</v>
      </c>
      <c r="AD229" s="156">
        <f t="shared" si="299"/>
        <v>13490</v>
      </c>
      <c r="AE229" s="207">
        <f t="shared" si="287"/>
        <v>14151.009999999998</v>
      </c>
      <c r="AF229" s="207">
        <f t="shared" si="288"/>
        <v>14787.805449999998</v>
      </c>
      <c r="AG229" s="207">
        <f t="shared" si="289"/>
        <v>15379.317667999998</v>
      </c>
      <c r="AH229" s="156"/>
      <c r="AI229" s="156">
        <v>0.152</v>
      </c>
      <c r="AJ229" s="156">
        <f t="shared" si="267"/>
        <v>0.16188</v>
      </c>
      <c r="AK229" s="156">
        <f t="shared" si="309"/>
        <v>0.16981211999999998</v>
      </c>
      <c r="AL229" s="156">
        <f t="shared" si="310"/>
        <v>0.17745366539999996</v>
      </c>
      <c r="AM229" s="156">
        <f t="shared" si="311"/>
        <v>0.18455181201599999</v>
      </c>
      <c r="AN229" s="4"/>
      <c r="AO229" s="4"/>
    </row>
    <row r="230" spans="1:41" s="35" customFormat="1" ht="15.75">
      <c r="A230" s="195" t="s">
        <v>394</v>
      </c>
      <c r="B230" s="182"/>
      <c r="C230" s="152"/>
      <c r="D230" s="191"/>
      <c r="E230" s="191"/>
      <c r="F230" s="191"/>
      <c r="G230" s="191"/>
      <c r="H230" s="191"/>
      <c r="I230" s="191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>
        <v>3579</v>
      </c>
      <c r="W230" s="155">
        <v>3653</v>
      </c>
      <c r="X230" s="155">
        <v>3570</v>
      </c>
      <c r="Y230" s="155">
        <v>3521</v>
      </c>
      <c r="Z230" s="155">
        <v>3807</v>
      </c>
      <c r="AA230" s="155">
        <v>3805</v>
      </c>
      <c r="AB230" s="156">
        <f t="shared" si="299"/>
        <v>29338.968054391356</v>
      </c>
      <c r="AC230" s="156">
        <f t="shared" si="299"/>
        <v>26809.816132858836</v>
      </c>
      <c r="AD230" s="156">
        <f t="shared" si="299"/>
        <v>26180.905695611578</v>
      </c>
      <c r="AE230" s="207">
        <f t="shared" si="287"/>
        <v>27463.770074696546</v>
      </c>
      <c r="AF230" s="207">
        <f t="shared" si="288"/>
        <v>28699.639728057889</v>
      </c>
      <c r="AG230" s="207">
        <f t="shared" si="289"/>
        <v>29847.625317180205</v>
      </c>
      <c r="AH230" s="156">
        <f>1256.5+3.55</f>
        <v>1260.05</v>
      </c>
      <c r="AI230" s="156">
        <f>1177.3456-1.0505-1.06</f>
        <v>1175.2351000000001</v>
      </c>
      <c r="AJ230" s="156">
        <v>1121.5899999999999</v>
      </c>
      <c r="AK230" s="156">
        <f t="shared" si="309"/>
        <v>1160.3992131960786</v>
      </c>
      <c r="AL230" s="156">
        <f t="shared" si="310"/>
        <v>1311.1143413365965</v>
      </c>
      <c r="AM230" s="156">
        <f t="shared" si="311"/>
        <v>1362.8425719824481</v>
      </c>
      <c r="AN230" s="4"/>
      <c r="AO230" s="4"/>
    </row>
    <row r="231" spans="1:41" s="35" customFormat="1" ht="24.75" customHeight="1">
      <c r="A231" s="104" t="s">
        <v>395</v>
      </c>
      <c r="B231" s="125"/>
      <c r="C231" s="152"/>
      <c r="D231" s="154">
        <f>D9+D12+D49+D59+D72+D85+D108+D190+D230</f>
        <v>1051.08</v>
      </c>
      <c r="E231" s="154">
        <f t="shared" ref="E231:O231" si="315">E9+E12+E49+E59+E72+E85+E108+E190+E230</f>
        <v>927.22579999999994</v>
      </c>
      <c r="F231" s="154">
        <f t="shared" si="315"/>
        <v>918.19002169999999</v>
      </c>
      <c r="G231" s="154">
        <f t="shared" si="315"/>
        <v>953.21440030569988</v>
      </c>
      <c r="H231" s="154">
        <f t="shared" si="315"/>
        <v>996.59242548347083</v>
      </c>
      <c r="I231" s="154">
        <f t="shared" si="315"/>
        <v>1019.976205308724</v>
      </c>
      <c r="J231" s="154">
        <f t="shared" si="315"/>
        <v>2648.0499999999997</v>
      </c>
      <c r="K231" s="154">
        <f t="shared" si="315"/>
        <v>2672.1</v>
      </c>
      <c r="L231" s="154">
        <f t="shared" si="315"/>
        <v>2780.2758524999999</v>
      </c>
      <c r="M231" s="154">
        <f t="shared" si="315"/>
        <v>2914.0525805880993</v>
      </c>
      <c r="N231" s="154">
        <f t="shared" si="315"/>
        <v>3048.2970576683892</v>
      </c>
      <c r="O231" s="154">
        <f t="shared" si="315"/>
        <v>3156.0281779691973</v>
      </c>
      <c r="P231" s="154">
        <f t="shared" ref="P231:AM231" si="316">P9+P12+P49+P59+P72+P85+P108+P190</f>
        <v>137.75</v>
      </c>
      <c r="Q231" s="154">
        <f t="shared" si="316"/>
        <v>163.57239999999999</v>
      </c>
      <c r="R231" s="154">
        <f t="shared" si="316"/>
        <v>170.28182429999998</v>
      </c>
      <c r="S231" s="154">
        <f t="shared" si="316"/>
        <v>178.01501827409999</v>
      </c>
      <c r="T231" s="154">
        <f t="shared" si="316"/>
        <v>185.8510986847578</v>
      </c>
      <c r="U231" s="154">
        <f t="shared" si="316"/>
        <v>192.62840027144767</v>
      </c>
      <c r="V231" s="154">
        <f t="shared" si="316"/>
        <v>8192</v>
      </c>
      <c r="W231" s="154">
        <f t="shared" si="316"/>
        <v>7990</v>
      </c>
      <c r="X231" s="154">
        <f t="shared" si="316"/>
        <v>7666</v>
      </c>
      <c r="Y231" s="154">
        <f t="shared" si="316"/>
        <v>7694</v>
      </c>
      <c r="Z231" s="154">
        <f t="shared" si="316"/>
        <v>8009</v>
      </c>
      <c r="AA231" s="154">
        <f t="shared" si="316"/>
        <v>8014</v>
      </c>
      <c r="AB231" s="159">
        <f t="shared" si="299"/>
        <v>29357.91015625</v>
      </c>
      <c r="AC231" s="159">
        <f t="shared" si="299"/>
        <v>30149.900917813935</v>
      </c>
      <c r="AD231" s="159">
        <f t="shared" si="299"/>
        <v>29988.435869423436</v>
      </c>
      <c r="AE231" s="159">
        <f t="shared" si="287"/>
        <v>31457.869227025181</v>
      </c>
      <c r="AF231" s="159">
        <f t="shared" si="288"/>
        <v>32873.473342241312</v>
      </c>
      <c r="AG231" s="159">
        <f t="shared" si="289"/>
        <v>34188.412275930968</v>
      </c>
      <c r="AH231" s="159">
        <f t="shared" si="316"/>
        <v>2886</v>
      </c>
      <c r="AI231" s="159">
        <f>AI9+AI12+AI49+AI59+AI72+AI85+AI108+AI190</f>
        <v>2890.7725</v>
      </c>
      <c r="AJ231" s="159">
        <f t="shared" si="316"/>
        <v>2758.6961925000005</v>
      </c>
      <c r="AK231" s="159">
        <f t="shared" si="316"/>
        <v>2907.109882373913</v>
      </c>
      <c r="AL231" s="159">
        <f t="shared" si="316"/>
        <v>3135.6599368594539</v>
      </c>
      <c r="AM231" s="159">
        <f t="shared" si="316"/>
        <v>3262.8686828770306</v>
      </c>
      <c r="AN231" s="4"/>
      <c r="AO231" s="4"/>
    </row>
    <row r="232" spans="1:41" s="35" customFormat="1" ht="35.25" customHeight="1">
      <c r="A232" s="104" t="s">
        <v>131</v>
      </c>
      <c r="B232" s="125"/>
      <c r="C232" s="152"/>
      <c r="D232" s="106"/>
      <c r="E232" s="106"/>
      <c r="F232" s="106"/>
      <c r="G232" s="30"/>
      <c r="H232" s="30"/>
      <c r="I232" s="30"/>
      <c r="J232" s="155"/>
      <c r="K232" s="155"/>
      <c r="L232" s="155"/>
      <c r="M232" s="155"/>
      <c r="N232" s="155"/>
      <c r="O232" s="155"/>
      <c r="P232" s="155"/>
      <c r="Q232" s="196"/>
      <c r="R232" s="155"/>
      <c r="S232" s="155"/>
      <c r="T232" s="155"/>
      <c r="U232" s="155"/>
      <c r="V232" s="30"/>
      <c r="W232" s="30"/>
      <c r="X232" s="30"/>
      <c r="Y232" s="30"/>
      <c r="Z232" s="30"/>
      <c r="AA232" s="30"/>
      <c r="AB232" s="156"/>
      <c r="AC232" s="156"/>
      <c r="AD232" s="156"/>
      <c r="AE232" s="156"/>
      <c r="AF232" s="156"/>
      <c r="AG232" s="156"/>
      <c r="AH232" s="156"/>
      <c r="AI232" s="156"/>
      <c r="AJ232" s="156"/>
      <c r="AK232" s="156"/>
      <c r="AL232" s="156"/>
      <c r="AM232" s="156"/>
      <c r="AN232" s="4"/>
      <c r="AO232" s="4"/>
    </row>
    <row r="233" spans="1:41" s="35" customFormat="1" ht="53.25" customHeight="1">
      <c r="A233" s="31" t="s">
        <v>130</v>
      </c>
      <c r="B233" s="105"/>
      <c r="C233" s="152"/>
      <c r="D233" s="106"/>
      <c r="E233" s="106"/>
      <c r="F233" s="106"/>
      <c r="G233" s="30"/>
      <c r="H233" s="30"/>
      <c r="I233" s="30"/>
      <c r="J233" s="155"/>
      <c r="K233" s="155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30"/>
      <c r="W233" s="30"/>
      <c r="X233" s="30"/>
      <c r="Y233" s="30"/>
      <c r="Z233" s="30"/>
      <c r="AA233" s="30"/>
      <c r="AB233" s="156"/>
      <c r="AC233" s="156"/>
      <c r="AD233" s="156"/>
      <c r="AE233" s="156"/>
      <c r="AF233" s="156"/>
      <c r="AG233" s="156"/>
      <c r="AH233" s="156"/>
      <c r="AI233" s="156"/>
      <c r="AJ233" s="156"/>
      <c r="AK233" s="156"/>
      <c r="AL233" s="156"/>
      <c r="AM233" s="156"/>
      <c r="AN233" s="4"/>
      <c r="AO233" s="4"/>
    </row>
    <row r="234" spans="1:41" s="35" customFormat="1" ht="19.5" customHeight="1">
      <c r="A234" s="157" t="s">
        <v>396</v>
      </c>
      <c r="B234" s="105"/>
      <c r="C234" s="152"/>
      <c r="D234" s="155"/>
      <c r="E234" s="155"/>
      <c r="F234" s="155"/>
      <c r="G234" s="155"/>
      <c r="H234" s="155"/>
      <c r="I234" s="155"/>
      <c r="J234" s="155">
        <f>J85-J107</f>
        <v>445.1</v>
      </c>
      <c r="K234" s="155">
        <f t="shared" ref="K234:O234" si="317">K85-K107</f>
        <v>344.97090000000009</v>
      </c>
      <c r="L234" s="155">
        <f t="shared" si="317"/>
        <v>361.52950320000008</v>
      </c>
      <c r="M234" s="155">
        <f t="shared" si="317"/>
        <v>380.32903736640003</v>
      </c>
      <c r="N234" s="155">
        <f t="shared" si="317"/>
        <v>396.3028569357889</v>
      </c>
      <c r="O234" s="155">
        <f t="shared" si="317"/>
        <v>412.94757692709203</v>
      </c>
      <c r="P234" s="155">
        <f>P85-P107</f>
        <v>24.659999999999997</v>
      </c>
      <c r="Q234" s="155">
        <f t="shared" ref="Q234:U234" si="318">Q85-Q107</f>
        <v>18.772600000000001</v>
      </c>
      <c r="R234" s="155">
        <f t="shared" si="318"/>
        <v>19.6736848</v>
      </c>
      <c r="S234" s="155">
        <f t="shared" si="318"/>
        <v>20.6967164096</v>
      </c>
      <c r="T234" s="155">
        <f t="shared" si="318"/>
        <v>21.565978498803201</v>
      </c>
      <c r="U234" s="155">
        <f t="shared" si="318"/>
        <v>22.471749595752932</v>
      </c>
      <c r="V234" s="155">
        <f>V85-V107</f>
        <v>110</v>
      </c>
      <c r="W234" s="155">
        <f t="shared" ref="W234:AA234" si="319">W85-W107</f>
        <v>153</v>
      </c>
      <c r="X234" s="155">
        <f t="shared" si="319"/>
        <v>128</v>
      </c>
      <c r="Y234" s="155">
        <f t="shared" si="319"/>
        <v>125</v>
      </c>
      <c r="Z234" s="155">
        <f t="shared" si="319"/>
        <v>125</v>
      </c>
      <c r="AA234" s="155">
        <f t="shared" si="319"/>
        <v>125</v>
      </c>
      <c r="AB234" s="156">
        <f t="shared" ref="AB234:AD242" si="320">(AH234*1000000/V234)/12</f>
        <v>7196.969696969697</v>
      </c>
      <c r="AC234" s="156">
        <f t="shared" si="320"/>
        <v>8823.5294117647063</v>
      </c>
      <c r="AD234" s="156">
        <f t="shared" si="320"/>
        <v>11215.642578125</v>
      </c>
      <c r="AE234" s="207">
        <f t="shared" ref="AE234:AE242" si="321">AD234*1.049</f>
        <v>11765.209064453124</v>
      </c>
      <c r="AF234" s="207">
        <f t="shared" si="288"/>
        <v>12294.643472353513</v>
      </c>
      <c r="AG234" s="207">
        <f t="shared" si="289"/>
        <v>12786.429211247654</v>
      </c>
      <c r="AH234" s="156">
        <f>AH85-AH107</f>
        <v>9.5</v>
      </c>
      <c r="AI234" s="156">
        <v>16.2</v>
      </c>
      <c r="AJ234" s="156">
        <f t="shared" ref="AJ234" si="322">AJ85-AJ107</f>
        <v>17.227226999999999</v>
      </c>
      <c r="AK234" s="156">
        <f t="shared" ref="AK234" si="323">AE234*Y234*12/1000000</f>
        <v>17.647813596679683</v>
      </c>
      <c r="AL234" s="156">
        <f t="shared" ref="AL234" si="324">AF234*Z234*12/1000000</f>
        <v>18.44196520853027</v>
      </c>
      <c r="AM234" s="156">
        <f t="shared" ref="AM234" si="325">AG234*AA234*12/1000000</f>
        <v>19.179643816871483</v>
      </c>
      <c r="AN234" s="4"/>
      <c r="AO234" s="4"/>
    </row>
    <row r="235" spans="1:41" s="35" customFormat="1" ht="18.75" customHeight="1">
      <c r="A235" s="157" t="s">
        <v>67</v>
      </c>
      <c r="B235" s="105"/>
      <c r="C235" s="152"/>
      <c r="D235" s="155">
        <f>D12-D17-D22-D48</f>
        <v>443.68000000000006</v>
      </c>
      <c r="E235" s="155">
        <f t="shared" ref="E235:I235" si="326">E12-E17-E22-E48</f>
        <v>450.29739999999987</v>
      </c>
      <c r="F235" s="155">
        <f t="shared" si="326"/>
        <v>467.31179489999994</v>
      </c>
      <c r="G235" s="155">
        <f t="shared" si="326"/>
        <v>483.07351775970005</v>
      </c>
      <c r="H235" s="155">
        <f t="shared" si="326"/>
        <v>501.23360646225888</v>
      </c>
      <c r="I235" s="155">
        <f t="shared" si="326"/>
        <v>506.11127433104986</v>
      </c>
      <c r="J235" s="155">
        <f>J12-J17-J22-J48</f>
        <v>443.68000000000006</v>
      </c>
      <c r="K235" s="155">
        <f t="shared" ref="K235:O235" si="327">K12-K17-K22-K48</f>
        <v>450.29739999999987</v>
      </c>
      <c r="L235" s="155">
        <f t="shared" si="327"/>
        <v>467.31179489999994</v>
      </c>
      <c r="M235" s="155">
        <f t="shared" si="327"/>
        <v>483.07351775970005</v>
      </c>
      <c r="N235" s="155">
        <f t="shared" si="327"/>
        <v>501.23360646225888</v>
      </c>
      <c r="O235" s="155">
        <f t="shared" si="327"/>
        <v>506.11127433104986</v>
      </c>
      <c r="P235" s="155">
        <f>P12-P17-P22-P48</f>
        <v>6.0800000000000018</v>
      </c>
      <c r="Q235" s="155">
        <f t="shared" ref="Q235:U235" si="328">Q12-Q17-Q22-Q48</f>
        <v>66.498299999999986</v>
      </c>
      <c r="R235" s="155">
        <f t="shared" si="328"/>
        <v>59.757954599999998</v>
      </c>
      <c r="S235" s="155">
        <f t="shared" si="328"/>
        <v>61.610451192599982</v>
      </c>
      <c r="T235" s="155">
        <f t="shared" si="328"/>
        <v>63.951648337918783</v>
      </c>
      <c r="U235" s="155">
        <f t="shared" si="328"/>
        <v>65.61439119470468</v>
      </c>
      <c r="V235" s="155">
        <v>145</v>
      </c>
      <c r="W235" s="155">
        <v>83</v>
      </c>
      <c r="X235" s="155">
        <v>59</v>
      </c>
      <c r="Y235" s="155">
        <f t="shared" ref="Y235" si="329">Y12-Y17-Y22-Y48</f>
        <v>60</v>
      </c>
      <c r="Z235" s="155">
        <v>60</v>
      </c>
      <c r="AA235" s="155">
        <v>60</v>
      </c>
      <c r="AB235" s="156">
        <f t="shared" si="320"/>
        <v>11505.747126436783</v>
      </c>
      <c r="AC235" s="156">
        <f t="shared" si="320"/>
        <v>8232.9317269076291</v>
      </c>
      <c r="AD235" s="156">
        <f t="shared" si="320"/>
        <v>8473.3538135593571</v>
      </c>
      <c r="AE235" s="207">
        <f t="shared" si="321"/>
        <v>8888.548150423765</v>
      </c>
      <c r="AF235" s="207">
        <f t="shared" si="288"/>
        <v>9288.532817192834</v>
      </c>
      <c r="AG235" s="207">
        <f t="shared" si="289"/>
        <v>9660.0741298805478</v>
      </c>
      <c r="AH235" s="156">
        <v>20.02</v>
      </c>
      <c r="AI235" s="156">
        <v>8.1999999999999993</v>
      </c>
      <c r="AJ235" s="156">
        <f t="shared" ref="AJ235" si="330">AJ12-AJ17-AJ22-AJ48</f>
        <v>5.9991345000000251</v>
      </c>
      <c r="AK235" s="156">
        <f t="shared" ref="AK235:AK241" si="331">AE235*Y235*12/1000000</f>
        <v>6.3997546683051105</v>
      </c>
      <c r="AL235" s="156">
        <f t="shared" ref="AL235:AL240" si="332">AF235*Z235*12/1000000</f>
        <v>6.6877436283788398</v>
      </c>
      <c r="AM235" s="156">
        <f t="shared" ref="AM235:AM241" si="333">AG235*AA235*12/1000000</f>
        <v>6.9552533735139948</v>
      </c>
      <c r="AN235" s="4"/>
      <c r="AO235" s="4"/>
    </row>
    <row r="236" spans="1:41" s="35" customFormat="1" ht="18" customHeight="1">
      <c r="A236" s="157" t="s">
        <v>397</v>
      </c>
      <c r="B236" s="105"/>
      <c r="C236" s="152"/>
      <c r="D236" s="155"/>
      <c r="E236" s="155"/>
      <c r="F236" s="155"/>
      <c r="G236" s="155"/>
      <c r="H236" s="155"/>
      <c r="I236" s="155"/>
      <c r="J236" s="155">
        <f>J11</f>
        <v>0</v>
      </c>
      <c r="K236" s="155">
        <f t="shared" ref="K236:O236" si="334">K11</f>
        <v>0</v>
      </c>
      <c r="L236" s="155">
        <f t="shared" si="334"/>
        <v>0</v>
      </c>
      <c r="M236" s="155">
        <f t="shared" si="334"/>
        <v>0</v>
      </c>
      <c r="N236" s="155">
        <f t="shared" si="334"/>
        <v>0</v>
      </c>
      <c r="O236" s="155">
        <f t="shared" si="334"/>
        <v>0</v>
      </c>
      <c r="P236" s="155">
        <f>P11</f>
        <v>0</v>
      </c>
      <c r="Q236" s="155">
        <f t="shared" ref="Q236:U236" si="335">Q11</f>
        <v>0</v>
      </c>
      <c r="R236" s="155">
        <f t="shared" si="335"/>
        <v>0</v>
      </c>
      <c r="S236" s="155">
        <f t="shared" si="335"/>
        <v>0</v>
      </c>
      <c r="T236" s="155">
        <f t="shared" si="335"/>
        <v>0</v>
      </c>
      <c r="U236" s="155">
        <f t="shared" si="335"/>
        <v>0</v>
      </c>
      <c r="V236" s="155">
        <f>V11</f>
        <v>17</v>
      </c>
      <c r="W236" s="155">
        <v>10</v>
      </c>
      <c r="X236" s="155">
        <f t="shared" ref="X236:AA236" si="336">X11</f>
        <v>10</v>
      </c>
      <c r="Y236" s="155">
        <f t="shared" si="336"/>
        <v>10</v>
      </c>
      <c r="Z236" s="155">
        <f t="shared" si="336"/>
        <v>10</v>
      </c>
      <c r="AA236" s="155">
        <f t="shared" si="336"/>
        <v>10</v>
      </c>
      <c r="AB236" s="156">
        <f t="shared" si="320"/>
        <v>9950.9803921568619</v>
      </c>
      <c r="AC236" s="156">
        <f t="shared" si="320"/>
        <v>15000</v>
      </c>
      <c r="AD236" s="156">
        <f t="shared" si="320"/>
        <v>12500</v>
      </c>
      <c r="AE236" s="207">
        <f t="shared" si="321"/>
        <v>13112.5</v>
      </c>
      <c r="AF236" s="207">
        <f t="shared" si="288"/>
        <v>13702.562499999998</v>
      </c>
      <c r="AG236" s="207">
        <f t="shared" si="289"/>
        <v>14250.664999999999</v>
      </c>
      <c r="AH236" s="156">
        <v>2.0299999999999998</v>
      </c>
      <c r="AI236" s="156">
        <v>1.8</v>
      </c>
      <c r="AJ236" s="156">
        <f>AJ11</f>
        <v>1.5</v>
      </c>
      <c r="AK236" s="156">
        <f t="shared" si="331"/>
        <v>1.5734999999999999</v>
      </c>
      <c r="AL236" s="156">
        <f t="shared" si="332"/>
        <v>1.6443074999999996</v>
      </c>
      <c r="AM236" s="156">
        <f t="shared" si="333"/>
        <v>1.7100797999999997</v>
      </c>
      <c r="AN236" s="4"/>
      <c r="AO236" s="4"/>
    </row>
    <row r="237" spans="1:41" s="35" customFormat="1" ht="33.75" customHeight="1">
      <c r="A237" s="157" t="s">
        <v>398</v>
      </c>
      <c r="B237" s="105"/>
      <c r="C237" s="152"/>
      <c r="D237" s="155">
        <f>D49-D53-D58</f>
        <v>202</v>
      </c>
      <c r="E237" s="155">
        <f t="shared" ref="E237:I237" si="337">E49-E53-E58</f>
        <v>192.54939999999999</v>
      </c>
      <c r="F237" s="155">
        <f t="shared" si="337"/>
        <v>198.23774879999993</v>
      </c>
      <c r="G237" s="155">
        <f t="shared" si="337"/>
        <v>209.43753372799995</v>
      </c>
      <c r="H237" s="155">
        <f t="shared" si="337"/>
        <v>219.67960294812798</v>
      </c>
      <c r="I237" s="155">
        <f t="shared" si="337"/>
        <v>229.38977528669002</v>
      </c>
      <c r="J237" s="155">
        <f>J49-J53-J58</f>
        <v>202</v>
      </c>
      <c r="K237" s="155">
        <f t="shared" ref="K237:O237" si="338">K49-K53-K58</f>
        <v>192.54939999999999</v>
      </c>
      <c r="L237" s="155">
        <f t="shared" si="338"/>
        <v>198.23774879999993</v>
      </c>
      <c r="M237" s="155">
        <f t="shared" si="338"/>
        <v>209.43753372799995</v>
      </c>
      <c r="N237" s="155">
        <f t="shared" si="338"/>
        <v>219.67960294812798</v>
      </c>
      <c r="O237" s="155">
        <f t="shared" si="338"/>
        <v>229.38977528669002</v>
      </c>
      <c r="P237" s="155">
        <f>P49-P53-P58</f>
        <v>29.3</v>
      </c>
      <c r="Q237" s="155">
        <f t="shared" ref="Q237:U237" si="339">Q49-Q53-Q58</f>
        <v>8.9863999999999997</v>
      </c>
      <c r="R237" s="155">
        <f t="shared" si="339"/>
        <v>7.3758977999999971</v>
      </c>
      <c r="S237" s="155">
        <f t="shared" si="339"/>
        <v>7.7983716679999997</v>
      </c>
      <c r="T237" s="155">
        <f t="shared" si="339"/>
        <v>8.1831966230679996</v>
      </c>
      <c r="U237" s="155">
        <f t="shared" si="339"/>
        <v>8.5494008643521937</v>
      </c>
      <c r="V237" s="155">
        <v>268</v>
      </c>
      <c r="W237" s="155">
        <v>193</v>
      </c>
      <c r="X237" s="155">
        <f t="shared" ref="X237" si="340">X49-X53-X58</f>
        <v>185</v>
      </c>
      <c r="Y237" s="155">
        <v>187</v>
      </c>
      <c r="Z237" s="155">
        <v>187</v>
      </c>
      <c r="AA237" s="155">
        <v>187</v>
      </c>
      <c r="AB237" s="156">
        <f t="shared" si="320"/>
        <v>16386.81592039801</v>
      </c>
      <c r="AC237" s="156">
        <f t="shared" si="320"/>
        <v>17616.580310880829</v>
      </c>
      <c r="AD237" s="156">
        <f t="shared" si="320"/>
        <v>21091.071396396401</v>
      </c>
      <c r="AE237" s="207">
        <f t="shared" si="321"/>
        <v>22124.533894819822</v>
      </c>
      <c r="AF237" s="207">
        <f t="shared" si="288"/>
        <v>23120.137920086712</v>
      </c>
      <c r="AG237" s="207">
        <f t="shared" si="289"/>
        <v>24044.943436890182</v>
      </c>
      <c r="AH237" s="156">
        <v>52.7</v>
      </c>
      <c r="AI237" s="156">
        <v>40.799999999999997</v>
      </c>
      <c r="AJ237" s="156">
        <f t="shared" ref="AJ237" si="341">AJ49-AJ53-AJ58</f>
        <v>46.822178500000007</v>
      </c>
      <c r="AK237" s="156">
        <f t="shared" si="331"/>
        <v>49.647454059975686</v>
      </c>
      <c r="AL237" s="156">
        <f t="shared" si="332"/>
        <v>51.881589492674571</v>
      </c>
      <c r="AM237" s="156">
        <f t="shared" si="333"/>
        <v>53.95685307238157</v>
      </c>
      <c r="AN237" s="4"/>
      <c r="AO237" s="4"/>
    </row>
    <row r="238" spans="1:41" s="35" customFormat="1" ht="17.25" customHeight="1">
      <c r="A238" s="157" t="s">
        <v>399</v>
      </c>
      <c r="B238" s="105"/>
      <c r="C238" s="152"/>
      <c r="D238" s="155"/>
      <c r="E238" s="155"/>
      <c r="F238" s="155"/>
      <c r="G238" s="155"/>
      <c r="H238" s="155"/>
      <c r="I238" s="155"/>
      <c r="J238" s="155">
        <f>J108-J189</f>
        <v>827.06999999999982</v>
      </c>
      <c r="K238" s="155">
        <f t="shared" ref="K238:O238" si="342">K108-K189</f>
        <v>1009.9100000000001</v>
      </c>
      <c r="L238" s="155">
        <f t="shared" si="342"/>
        <v>1087.6730699999998</v>
      </c>
      <c r="M238" s="155">
        <f t="shared" si="342"/>
        <v>1146.4074157799998</v>
      </c>
      <c r="N238" s="155">
        <f t="shared" si="342"/>
        <v>1201.43497173744</v>
      </c>
      <c r="O238" s="155">
        <f t="shared" si="342"/>
        <v>1249.4923706069378</v>
      </c>
      <c r="P238" s="155">
        <f>P108-P189</f>
        <v>53.40000000000002</v>
      </c>
      <c r="Q238" s="155">
        <f t="shared" ref="Q238:U238" si="343">Q108-Q189</f>
        <v>57.260599999999997</v>
      </c>
      <c r="R238" s="155">
        <f t="shared" si="343"/>
        <v>61.667512200000004</v>
      </c>
      <c r="S238" s="155">
        <f t="shared" si="343"/>
        <v>64.997557858799993</v>
      </c>
      <c r="T238" s="155">
        <f t="shared" si="343"/>
        <v>68.117440636022394</v>
      </c>
      <c r="U238" s="155">
        <f t="shared" si="343"/>
        <v>70.842138261463305</v>
      </c>
      <c r="V238" s="155">
        <v>388</v>
      </c>
      <c r="W238" s="155">
        <f t="shared" ref="W238:AA238" si="344">W108-W189</f>
        <v>378</v>
      </c>
      <c r="X238" s="155">
        <f t="shared" si="344"/>
        <v>331</v>
      </c>
      <c r="Y238" s="155">
        <f t="shared" si="344"/>
        <v>331</v>
      </c>
      <c r="Z238" s="155">
        <f t="shared" si="344"/>
        <v>331</v>
      </c>
      <c r="AA238" s="155">
        <f t="shared" si="344"/>
        <v>331</v>
      </c>
      <c r="AB238" s="156">
        <f t="shared" si="320"/>
        <v>10502.57731958763</v>
      </c>
      <c r="AC238" s="156">
        <f t="shared" si="320"/>
        <v>12433.862433862434</v>
      </c>
      <c r="AD238" s="156">
        <f t="shared" si="320"/>
        <v>15128.174848942601</v>
      </c>
      <c r="AE238" s="207">
        <f t="shared" si="321"/>
        <v>15869.455416540788</v>
      </c>
      <c r="AF238" s="207">
        <f t="shared" si="288"/>
        <v>16583.580910285124</v>
      </c>
      <c r="AG238" s="207">
        <f t="shared" si="289"/>
        <v>17246.924146696529</v>
      </c>
      <c r="AH238" s="156">
        <v>48.9</v>
      </c>
      <c r="AI238" s="156">
        <v>56.4</v>
      </c>
      <c r="AJ238" s="156">
        <f t="shared" ref="AJ238" si="345">AJ108-AJ189</f>
        <v>60.089110500000004</v>
      </c>
      <c r="AK238" s="156">
        <f t="shared" si="331"/>
        <v>63.033476914500007</v>
      </c>
      <c r="AL238" s="156">
        <f t="shared" si="332"/>
        <v>65.869983375652509</v>
      </c>
      <c r="AM238" s="156">
        <f t="shared" si="333"/>
        <v>68.504782710678612</v>
      </c>
      <c r="AN238" s="4"/>
      <c r="AO238" s="4"/>
    </row>
    <row r="239" spans="1:41" s="35" customFormat="1" ht="16.5" customHeight="1">
      <c r="A239" s="157" t="s">
        <v>400</v>
      </c>
      <c r="B239" s="105"/>
      <c r="C239" s="152"/>
      <c r="D239" s="155"/>
      <c r="E239" s="155"/>
      <c r="F239" s="155"/>
      <c r="G239" s="155"/>
      <c r="H239" s="155"/>
      <c r="I239" s="155"/>
      <c r="J239" s="155">
        <f>J59-J71</f>
        <v>23.6</v>
      </c>
      <c r="K239" s="155">
        <f t="shared" ref="K239:O239" si="346">K59-K71</f>
        <v>35.684000000000005</v>
      </c>
      <c r="L239" s="155">
        <f t="shared" si="346"/>
        <v>37.075676000000001</v>
      </c>
      <c r="M239" s="155">
        <f t="shared" si="346"/>
        <v>38.632854391999999</v>
      </c>
      <c r="N239" s="155">
        <f t="shared" si="346"/>
        <v>40.757661383559999</v>
      </c>
      <c r="O239" s="155">
        <f t="shared" si="346"/>
        <v>42.387967838902405</v>
      </c>
      <c r="P239" s="155">
        <f>P59-P71</f>
        <v>1.3</v>
      </c>
      <c r="Q239" s="155">
        <f t="shared" ref="Q239:U239" si="347">Q59-Q71</f>
        <v>1.2959999999999998</v>
      </c>
      <c r="R239" s="155">
        <f t="shared" si="347"/>
        <v>1.346544</v>
      </c>
      <c r="S239" s="155">
        <f t="shared" si="347"/>
        <v>1.403098848</v>
      </c>
      <c r="T239" s="155">
        <f t="shared" si="347"/>
        <v>1.4802692846399998</v>
      </c>
      <c r="U239" s="155">
        <f t="shared" si="347"/>
        <v>1.5394800560255999</v>
      </c>
      <c r="V239" s="155">
        <v>19</v>
      </c>
      <c r="W239" s="155">
        <f t="shared" ref="W239" si="348">W59-W71</f>
        <v>32</v>
      </c>
      <c r="X239" s="155">
        <v>19</v>
      </c>
      <c r="Y239" s="155">
        <v>19</v>
      </c>
      <c r="Z239" s="155">
        <v>19</v>
      </c>
      <c r="AA239" s="155">
        <v>19</v>
      </c>
      <c r="AB239" s="156">
        <f t="shared" si="320"/>
        <v>12719.298245614036</v>
      </c>
      <c r="AC239" s="156">
        <f t="shared" si="320"/>
        <v>5989.583333333333</v>
      </c>
      <c r="AD239" s="156">
        <f t="shared" si="320"/>
        <v>10713.526315789473</v>
      </c>
      <c r="AE239" s="207">
        <f t="shared" si="321"/>
        <v>11238.489105263157</v>
      </c>
      <c r="AF239" s="207">
        <f t="shared" si="288"/>
        <v>11744.221114999998</v>
      </c>
      <c r="AG239" s="207">
        <f t="shared" si="289"/>
        <v>12213.9899596</v>
      </c>
      <c r="AH239" s="156">
        <v>2.9</v>
      </c>
      <c r="AI239" s="156">
        <v>2.2999999999999998</v>
      </c>
      <c r="AJ239" s="156">
        <f t="shared" ref="AJ239" si="349">AJ59-AJ71</f>
        <v>2.4426839999999999</v>
      </c>
      <c r="AK239" s="156">
        <f t="shared" si="331"/>
        <v>2.5623755159999999</v>
      </c>
      <c r="AL239" s="156">
        <f t="shared" si="332"/>
        <v>2.6776824142199995</v>
      </c>
      <c r="AM239" s="156">
        <f t="shared" si="333"/>
        <v>2.7847897107887998</v>
      </c>
      <c r="AN239" s="4"/>
      <c r="AO239" s="4"/>
    </row>
    <row r="240" spans="1:41" s="35" customFormat="1" ht="18.75" customHeight="1">
      <c r="A240" s="197" t="s">
        <v>401</v>
      </c>
      <c r="B240" s="125"/>
      <c r="C240" s="152"/>
      <c r="D240" s="155"/>
      <c r="E240" s="155"/>
      <c r="F240" s="155"/>
      <c r="G240" s="155"/>
      <c r="H240" s="155"/>
      <c r="I240" s="155"/>
      <c r="J240" s="155">
        <f>J72-J80-J84</f>
        <v>23.2</v>
      </c>
      <c r="K240" s="155">
        <f t="shared" ref="K240:O240" si="350">K72-K80-K84</f>
        <v>109.49799999999999</v>
      </c>
      <c r="L240" s="155">
        <f t="shared" si="350"/>
        <v>119.24332199999999</v>
      </c>
      <c r="M240" s="155">
        <f t="shared" si="350"/>
        <v>125.56321806599999</v>
      </c>
      <c r="N240" s="155">
        <f t="shared" si="350"/>
        <v>131.96694218736596</v>
      </c>
      <c r="O240" s="155">
        <f t="shared" si="350"/>
        <v>138.16938847017218</v>
      </c>
      <c r="P240" s="155">
        <f>P72-P80-P84</f>
        <v>1.7</v>
      </c>
      <c r="Q240" s="155">
        <f t="shared" ref="Q240:U240" si="351">Q72-Q80-Q84</f>
        <v>3.3620000000000001</v>
      </c>
      <c r="R240" s="155">
        <f t="shared" si="351"/>
        <v>3.6612179999999999</v>
      </c>
      <c r="S240" s="155">
        <f t="shared" si="351"/>
        <v>3.8552625540000003</v>
      </c>
      <c r="T240" s="155">
        <f t="shared" si="351"/>
        <v>4.051880944254</v>
      </c>
      <c r="U240" s="155">
        <f t="shared" si="351"/>
        <v>4.2423193486339379</v>
      </c>
      <c r="V240" s="155">
        <f>V72-V80-V84</f>
        <v>30</v>
      </c>
      <c r="W240" s="155">
        <v>61</v>
      </c>
      <c r="X240" s="155">
        <v>43</v>
      </c>
      <c r="Y240" s="155">
        <v>43</v>
      </c>
      <c r="Z240" s="155">
        <v>43</v>
      </c>
      <c r="AA240" s="155">
        <v>43</v>
      </c>
      <c r="AB240" s="156">
        <f t="shared" si="320"/>
        <v>12527.777777777779</v>
      </c>
      <c r="AC240" s="156">
        <f t="shared" si="320"/>
        <v>10793.442622950824</v>
      </c>
      <c r="AD240" s="156">
        <f t="shared" si="320"/>
        <v>13004.558139534774</v>
      </c>
      <c r="AE240" s="207">
        <f t="shared" si="321"/>
        <v>13641.781488371978</v>
      </c>
      <c r="AF240" s="207">
        <f t="shared" si="288"/>
        <v>14255.661655348717</v>
      </c>
      <c r="AG240" s="207">
        <f t="shared" si="289"/>
        <v>14825.888121562666</v>
      </c>
      <c r="AH240" s="156">
        <v>4.51</v>
      </c>
      <c r="AI240" s="156">
        <f t="shared" ref="AI240:AJ240" si="352">AI72-AI80-AI84</f>
        <v>7.9008000000000038</v>
      </c>
      <c r="AJ240" s="156">
        <f t="shared" si="352"/>
        <v>6.7103519999999435</v>
      </c>
      <c r="AK240" s="156">
        <f t="shared" si="331"/>
        <v>7.0391592479999403</v>
      </c>
      <c r="AL240" s="156">
        <f t="shared" si="332"/>
        <v>7.3559214141599387</v>
      </c>
      <c r="AM240" s="156">
        <f t="shared" si="333"/>
        <v>7.6501582707263358</v>
      </c>
      <c r="AN240" s="4"/>
      <c r="AO240" s="4"/>
    </row>
    <row r="241" spans="1:41" s="35" customFormat="1" ht="18.75" customHeight="1" thickBot="1">
      <c r="A241" s="197" t="s">
        <v>74</v>
      </c>
      <c r="B241" s="198"/>
      <c r="C241" s="199"/>
      <c r="D241" s="155"/>
      <c r="E241" s="155"/>
      <c r="F241" s="155"/>
      <c r="G241" s="155"/>
      <c r="H241" s="155"/>
      <c r="I241" s="155"/>
      <c r="J241" s="155">
        <f>J190-J223-J224-J225-J226-J228-J230</f>
        <v>263.7</v>
      </c>
      <c r="K241" s="155">
        <f t="shared" ref="K241:O241" si="353">K190-K223-K224-K225-K226-K228-K230</f>
        <v>230.7003</v>
      </c>
      <c r="L241" s="155">
        <f t="shared" si="353"/>
        <v>241.77391439999988</v>
      </c>
      <c r="M241" s="155">
        <f t="shared" si="353"/>
        <v>254.34615794880008</v>
      </c>
      <c r="N241" s="155">
        <f t="shared" si="353"/>
        <v>265.02869658264962</v>
      </c>
      <c r="O241" s="155">
        <f t="shared" si="353"/>
        <v>276.15990183912095</v>
      </c>
      <c r="P241" s="155">
        <f>P190-P223-P224-P225-P226-P228-P230</f>
        <v>14.23</v>
      </c>
      <c r="Q241" s="155">
        <f t="shared" ref="Q241:U241" si="354">Q190-Q223-Q224-Q225-Q226-Q228-Q230</f>
        <v>11.7814</v>
      </c>
      <c r="R241" s="155">
        <f t="shared" si="354"/>
        <v>12.342715199999999</v>
      </c>
      <c r="S241" s="155">
        <f t="shared" si="354"/>
        <v>12.984536390400002</v>
      </c>
      <c r="T241" s="155">
        <f t="shared" si="354"/>
        <v>13.529886918796802</v>
      </c>
      <c r="U241" s="155">
        <f t="shared" si="354"/>
        <v>14.098142169386268</v>
      </c>
      <c r="V241" s="155">
        <v>554</v>
      </c>
      <c r="W241" s="155">
        <v>484</v>
      </c>
      <c r="X241" s="155">
        <f t="shared" ref="X241:AA241" si="355">X190-X223-X224-X225-X226-X228-X230</f>
        <v>429</v>
      </c>
      <c r="Y241" s="155">
        <f t="shared" si="355"/>
        <v>429</v>
      </c>
      <c r="Z241" s="155">
        <f t="shared" si="355"/>
        <v>429</v>
      </c>
      <c r="AA241" s="155">
        <f t="shared" si="355"/>
        <v>429</v>
      </c>
      <c r="AB241" s="211">
        <f t="shared" si="320"/>
        <v>15042.117930204573</v>
      </c>
      <c r="AC241" s="211">
        <f t="shared" si="320"/>
        <v>16391.184573002753</v>
      </c>
      <c r="AD241" s="211">
        <f t="shared" si="320"/>
        <v>19693.459498834512</v>
      </c>
      <c r="AE241" s="209">
        <f t="shared" si="321"/>
        <v>20658.439014277403</v>
      </c>
      <c r="AF241" s="209">
        <f t="shared" si="288"/>
        <v>21588.068769919886</v>
      </c>
      <c r="AG241" s="209">
        <f t="shared" si="289"/>
        <v>22451.591520716684</v>
      </c>
      <c r="AH241" s="156">
        <v>100</v>
      </c>
      <c r="AI241" s="156">
        <v>95.2</v>
      </c>
      <c r="AJ241" s="156">
        <f t="shared" ref="AJ241" si="356">AJ190-AJ223-AJ224-AJ225-AJ226-AJ228-AJ230</f>
        <v>101.38192950000007</v>
      </c>
      <c r="AK241" s="156">
        <f t="shared" si="331"/>
        <v>106.34964404550007</v>
      </c>
      <c r="AL241" s="156">
        <f>AF241*Z241*12/1000000</f>
        <v>111.13537802754759</v>
      </c>
      <c r="AM241" s="156">
        <f t="shared" si="333"/>
        <v>115.58079314864949</v>
      </c>
      <c r="AN241" s="4"/>
      <c r="AO241" s="4"/>
    </row>
    <row r="242" spans="1:41" s="35" customFormat="1" ht="28.5" customHeight="1" thickTop="1" thickBot="1">
      <c r="A242" s="200" t="s">
        <v>112</v>
      </c>
      <c r="B242" s="201"/>
      <c r="C242" s="113"/>
      <c r="D242" s="202">
        <f t="shared" ref="D242" si="357">SUM(D234:D241)</f>
        <v>645.68000000000006</v>
      </c>
      <c r="E242" s="202">
        <f t="shared" ref="E242:J242" si="358">SUM(E234:E241)</f>
        <v>642.8467999999998</v>
      </c>
      <c r="F242" s="202">
        <f t="shared" si="358"/>
        <v>665.54954369999984</v>
      </c>
      <c r="G242" s="202">
        <f t="shared" si="358"/>
        <v>692.5110514877</v>
      </c>
      <c r="H242" s="202">
        <f t="shared" si="358"/>
        <v>720.9132094103868</v>
      </c>
      <c r="I242" s="202">
        <f t="shared" si="358"/>
        <v>735.50104961773991</v>
      </c>
      <c r="J242" s="202">
        <f t="shared" si="358"/>
        <v>2228.35</v>
      </c>
      <c r="K242" s="202">
        <f>SUM(K234:K241)</f>
        <v>2373.6099999999997</v>
      </c>
      <c r="L242" s="202">
        <f t="shared" ref="L242:T242" si="359">SUM(L234:L241)</f>
        <v>2512.8450292999992</v>
      </c>
      <c r="M242" s="202">
        <f t="shared" si="359"/>
        <v>2637.7897350408998</v>
      </c>
      <c r="N242" s="202">
        <f t="shared" si="359"/>
        <v>2756.404338237191</v>
      </c>
      <c r="O242" s="202">
        <f t="shared" si="359"/>
        <v>2854.6582552999653</v>
      </c>
      <c r="P242" s="202">
        <f t="shared" si="359"/>
        <v>130.67000000000002</v>
      </c>
      <c r="Q242" s="202">
        <f t="shared" si="359"/>
        <v>167.95729999999998</v>
      </c>
      <c r="R242" s="202">
        <f t="shared" si="359"/>
        <v>165.82552659999996</v>
      </c>
      <c r="S242" s="202">
        <f t="shared" si="359"/>
        <v>173.34599492140001</v>
      </c>
      <c r="T242" s="202">
        <f t="shared" si="359"/>
        <v>180.88030124350317</v>
      </c>
      <c r="U242" s="202">
        <f>SUM(U234:U241)</f>
        <v>187.35762149031896</v>
      </c>
      <c r="V242" s="203">
        <f t="shared" ref="V242:AA242" si="360">SUM(V234:V241)</f>
        <v>1531</v>
      </c>
      <c r="W242" s="203">
        <f t="shared" si="360"/>
        <v>1394</v>
      </c>
      <c r="X242" s="203">
        <f t="shared" si="360"/>
        <v>1204</v>
      </c>
      <c r="Y242" s="203">
        <f t="shared" si="360"/>
        <v>1204</v>
      </c>
      <c r="Z242" s="203">
        <f t="shared" si="360"/>
        <v>1204</v>
      </c>
      <c r="AA242" s="203">
        <f t="shared" si="360"/>
        <v>1204</v>
      </c>
      <c r="AB242" s="210">
        <f t="shared" si="320"/>
        <v>13093.838449814937</v>
      </c>
      <c r="AC242" s="210">
        <f t="shared" si="320"/>
        <v>13677.71401243424</v>
      </c>
      <c r="AD242" s="210">
        <f t="shared" si="320"/>
        <v>16761.670542635664</v>
      </c>
      <c r="AE242" s="210">
        <f t="shared" si="321"/>
        <v>17582.992399224811</v>
      </c>
      <c r="AF242" s="210">
        <f t="shared" si="288"/>
        <v>18374.227057189928</v>
      </c>
      <c r="AG242" s="210">
        <f t="shared" si="289"/>
        <v>19109.196139477524</v>
      </c>
      <c r="AH242" s="202">
        <f>SUM(AH234:AH241)</f>
        <v>240.56</v>
      </c>
      <c r="AI242" s="202">
        <f t="shared" ref="AI242:AM242" si="361">SUM(AI234:AI241)</f>
        <v>228.80079999999998</v>
      </c>
      <c r="AJ242" s="202">
        <f t="shared" si="361"/>
        <v>242.17261600000006</v>
      </c>
      <c r="AK242" s="202">
        <f t="shared" si="361"/>
        <v>254.25317804896051</v>
      </c>
      <c r="AL242" s="202">
        <f t="shared" si="361"/>
        <v>265.69457106116374</v>
      </c>
      <c r="AM242" s="202">
        <f t="shared" si="361"/>
        <v>276.32235390361029</v>
      </c>
      <c r="AN242" s="4"/>
      <c r="AO242" s="4"/>
    </row>
    <row r="243" spans="1:41" s="35" customFormat="1" ht="13.5" thickTop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</row>
    <row r="244" spans="1:41" s="35" customForma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204"/>
      <c r="M244" s="204"/>
      <c r="N244" s="204"/>
      <c r="O244" s="4"/>
      <c r="P244" s="4"/>
      <c r="Q244" s="20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</row>
    <row r="245" spans="1:41" s="35" customForma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204"/>
      <c r="L245" s="204"/>
      <c r="M245" s="20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</row>
    <row r="246" spans="1:41" s="35" customForma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204"/>
      <c r="L246" s="20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</row>
    <row r="247" spans="1:41" s="35" customForma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</row>
    <row r="248" spans="1:41" s="35" customForma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</row>
    <row r="249" spans="1:41" s="35" customForma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</row>
    <row r="250" spans="1:41" s="35" customForma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</row>
    <row r="251" spans="1:4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4"/>
      <c r="W251" s="4"/>
      <c r="X251" s="4"/>
      <c r="Y251" s="4"/>
      <c r="Z251" s="4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</row>
    <row r="252" spans="1:4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4"/>
      <c r="W252" s="4"/>
      <c r="X252" s="4"/>
      <c r="Y252" s="4"/>
      <c r="Z252" s="4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</row>
    <row r="253" spans="1:4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4"/>
      <c r="W253" s="4"/>
      <c r="X253" s="4"/>
      <c r="Y253" s="4"/>
      <c r="Z253" s="4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</row>
    <row r="254" spans="1:4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4"/>
      <c r="W254" s="4"/>
      <c r="X254" s="4"/>
      <c r="Y254" s="4"/>
      <c r="Z254" s="4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</row>
  </sheetData>
  <mergeCells count="37">
    <mergeCell ref="V4:AM4"/>
    <mergeCell ref="D5:I5"/>
    <mergeCell ref="J5:O5"/>
    <mergeCell ref="P5:U5"/>
    <mergeCell ref="V5:AA5"/>
    <mergeCell ref="AB5:AG5"/>
    <mergeCell ref="AH5:AM5"/>
    <mergeCell ref="D2:Q2"/>
    <mergeCell ref="R2:U2"/>
    <mergeCell ref="C4:C7"/>
    <mergeCell ref="D4:I4"/>
    <mergeCell ref="J4:U4"/>
    <mergeCell ref="D6:D7"/>
    <mergeCell ref="E6:E7"/>
    <mergeCell ref="F6:F7"/>
    <mergeCell ref="G6:I6"/>
    <mergeCell ref="J6:J7"/>
    <mergeCell ref="K6:K7"/>
    <mergeCell ref="L6:L7"/>
    <mergeCell ref="M6:O6"/>
    <mergeCell ref="AH6:AH7"/>
    <mergeCell ref="AI6:AI7"/>
    <mergeCell ref="AJ6:AJ7"/>
    <mergeCell ref="AK6:AM6"/>
    <mergeCell ref="AD6:AD7"/>
    <mergeCell ref="AE6:AG6"/>
    <mergeCell ref="B37:B38"/>
    <mergeCell ref="X6:X7"/>
    <mergeCell ref="Y6:AA6"/>
    <mergeCell ref="AB6:AB7"/>
    <mergeCell ref="AC6:AC7"/>
    <mergeCell ref="W6:W7"/>
    <mergeCell ref="P6:P7"/>
    <mergeCell ref="Q6:Q7"/>
    <mergeCell ref="R6:R7"/>
    <mergeCell ref="S6:U6"/>
    <mergeCell ref="V6:V7"/>
  </mergeCells>
  <pageMargins left="0.11811023622047245" right="0.11811023622047245" top="0.15748031496062992" bottom="0.19685039370078741" header="0" footer="0"/>
  <pageSetup paperSize="9" scale="33" fitToHeight="10" orientation="landscape" verticalDpi="0" r:id="rId1"/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 enableFormatConditionsCalculation="0">
    <tabColor indexed="50"/>
  </sheetPr>
  <dimension ref="A1:AF45"/>
  <sheetViews>
    <sheetView tabSelected="1" view="pageBreakPreview" topLeftCell="C7" zoomScale="60" zoomScaleNormal="60" workbookViewId="0">
      <selection activeCell="L34" sqref="L34"/>
    </sheetView>
  </sheetViews>
  <sheetFormatPr defaultRowHeight="12.75"/>
  <cols>
    <col min="1" max="1" width="94.28515625" customWidth="1"/>
    <col min="2" max="2" width="24.28515625" style="50" customWidth="1"/>
    <col min="3" max="5" width="13.5703125" bestFit="1" customWidth="1"/>
    <col min="6" max="6" width="13.7109375" customWidth="1"/>
    <col min="7" max="8" width="13.5703125" bestFit="1" customWidth="1"/>
    <col min="9" max="9" width="24.140625" style="41" customWidth="1"/>
    <col min="10" max="10" width="19.42578125" customWidth="1"/>
    <col min="11" max="11" width="17.7109375" customWidth="1"/>
    <col min="12" max="12" width="17.140625" customWidth="1"/>
    <col min="13" max="14" width="19.28515625" customWidth="1"/>
    <col min="15" max="15" width="21.28515625" customWidth="1"/>
    <col min="16" max="16" width="16.140625" bestFit="1" customWidth="1"/>
    <col min="17" max="17" width="15.7109375" bestFit="1" customWidth="1"/>
    <col min="18" max="18" width="16.42578125" customWidth="1"/>
    <col min="19" max="19" width="15.7109375" bestFit="1" customWidth="1"/>
    <col min="20" max="20" width="14.5703125" customWidth="1"/>
  </cols>
  <sheetData>
    <row r="1" spans="1:32" ht="22.5" customHeight="1">
      <c r="A1" s="35"/>
      <c r="B1" s="41"/>
      <c r="C1" s="35"/>
      <c r="D1" s="35"/>
      <c r="E1" s="35"/>
      <c r="F1" s="35"/>
      <c r="G1" s="35"/>
      <c r="H1" s="35"/>
      <c r="I1" s="36"/>
      <c r="J1" s="36"/>
      <c r="K1" s="36"/>
      <c r="L1" s="36"/>
      <c r="M1" s="36"/>
      <c r="N1" s="285" t="s">
        <v>99</v>
      </c>
      <c r="O1" s="285"/>
      <c r="P1" s="285"/>
      <c r="Q1" s="285"/>
      <c r="R1" s="285"/>
      <c r="S1" s="285"/>
      <c r="T1" s="286"/>
      <c r="U1" s="33"/>
      <c r="V1" s="33"/>
      <c r="W1" s="33"/>
      <c r="X1" s="33"/>
      <c r="Y1" s="33"/>
      <c r="Z1" s="33"/>
      <c r="AA1" s="33"/>
    </row>
    <row r="2" spans="1:32" ht="82.5" customHeight="1">
      <c r="A2" s="290" t="s">
        <v>109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</row>
    <row r="3" spans="1:32" ht="20.25">
      <c r="A3" s="291" t="s">
        <v>44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</row>
    <row r="5" spans="1:32" ht="97.5" customHeight="1">
      <c r="A5" s="292" t="s">
        <v>81</v>
      </c>
      <c r="B5" s="287" t="s">
        <v>113</v>
      </c>
      <c r="C5" s="288"/>
      <c r="D5" s="288"/>
      <c r="E5" s="288"/>
      <c r="F5" s="288"/>
      <c r="G5" s="288"/>
      <c r="H5" s="289"/>
      <c r="I5" s="293" t="s">
        <v>45</v>
      </c>
      <c r="J5" s="288" t="s">
        <v>182</v>
      </c>
      <c r="K5" s="288"/>
      <c r="L5" s="288"/>
      <c r="M5" s="288"/>
      <c r="N5" s="288"/>
      <c r="O5" s="289"/>
      <c r="P5" s="294" t="s">
        <v>179</v>
      </c>
      <c r="Q5" s="294"/>
      <c r="R5" s="294"/>
      <c r="S5" s="294"/>
      <c r="T5" s="295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ht="78.75" customHeight="1">
      <c r="A6" s="292"/>
      <c r="B6" s="5" t="s">
        <v>17</v>
      </c>
      <c r="C6" s="126" t="s">
        <v>135</v>
      </c>
      <c r="D6" s="126" t="s">
        <v>136</v>
      </c>
      <c r="E6" s="126" t="s">
        <v>139</v>
      </c>
      <c r="F6" s="126" t="s">
        <v>165</v>
      </c>
      <c r="G6" s="126" t="s">
        <v>168</v>
      </c>
      <c r="H6" s="126" t="s">
        <v>177</v>
      </c>
      <c r="I6" s="293"/>
      <c r="J6" s="126" t="s">
        <v>135</v>
      </c>
      <c r="K6" s="126" t="s">
        <v>136</v>
      </c>
      <c r="L6" s="126" t="s">
        <v>139</v>
      </c>
      <c r="M6" s="126" t="s">
        <v>165</v>
      </c>
      <c r="N6" s="126" t="s">
        <v>168</v>
      </c>
      <c r="O6" s="126" t="s">
        <v>177</v>
      </c>
      <c r="P6" s="127" t="s">
        <v>136</v>
      </c>
      <c r="Q6" s="127" t="s">
        <v>139</v>
      </c>
      <c r="R6" s="127" t="s">
        <v>165</v>
      </c>
      <c r="S6" s="127" t="s">
        <v>168</v>
      </c>
      <c r="T6" s="127" t="s">
        <v>177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101.25">
      <c r="A7" s="38" t="s">
        <v>46</v>
      </c>
      <c r="B7" s="39">
        <v>1</v>
      </c>
      <c r="C7" s="39">
        <v>2</v>
      </c>
      <c r="D7" s="39">
        <v>3</v>
      </c>
      <c r="E7" s="39">
        <v>4</v>
      </c>
      <c r="F7" s="39">
        <v>5</v>
      </c>
      <c r="G7" s="39">
        <v>6</v>
      </c>
      <c r="H7" s="39">
        <v>7</v>
      </c>
      <c r="I7" s="39">
        <v>8</v>
      </c>
      <c r="J7" s="39">
        <v>9</v>
      </c>
      <c r="K7" s="39">
        <v>10</v>
      </c>
      <c r="L7" s="39">
        <v>11</v>
      </c>
      <c r="M7" s="39">
        <v>12</v>
      </c>
      <c r="N7" s="39">
        <v>13</v>
      </c>
      <c r="O7" s="39">
        <v>14</v>
      </c>
      <c r="P7" s="40" t="s">
        <v>151</v>
      </c>
      <c r="Q7" s="40" t="s">
        <v>152</v>
      </c>
      <c r="R7" s="40" t="s">
        <v>153</v>
      </c>
      <c r="S7" s="40" t="s">
        <v>154</v>
      </c>
      <c r="T7" s="40" t="s">
        <v>155</v>
      </c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ht="27">
      <c r="A8" s="275" t="s">
        <v>47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ht="27">
      <c r="A9" s="283" t="s">
        <v>51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64"/>
    </row>
    <row r="10" spans="1:32" ht="52.5" customHeight="1">
      <c r="A10" s="7" t="s">
        <v>101</v>
      </c>
      <c r="B10" s="42"/>
      <c r="C10" s="8"/>
      <c r="D10" s="8"/>
      <c r="E10" s="8"/>
      <c r="F10" s="8"/>
      <c r="G10" s="8"/>
      <c r="H10" s="8"/>
      <c r="I10" s="51"/>
      <c r="J10" s="138">
        <f>J11+J12+J13+J14</f>
        <v>27077.902000000002</v>
      </c>
      <c r="K10" s="138">
        <f t="shared" ref="K10:O10" si="0">K11+K12+K13+K14</f>
        <v>22104.608000000004</v>
      </c>
      <c r="L10" s="138">
        <f t="shared" si="0"/>
        <v>16483.600000000002</v>
      </c>
      <c r="M10" s="138">
        <f t="shared" si="0"/>
        <v>16483.600000000002</v>
      </c>
      <c r="N10" s="138">
        <f t="shared" si="0"/>
        <v>16483.600000000002</v>
      </c>
      <c r="O10" s="138">
        <f t="shared" si="0"/>
        <v>16483.600000000002</v>
      </c>
      <c r="P10" s="232">
        <f>K10/J10*100</f>
        <v>81.633385038471602</v>
      </c>
      <c r="Q10" s="232">
        <f t="shared" ref="Q10:T10" si="1">L10/K10*100</f>
        <v>74.570876805415409</v>
      </c>
      <c r="R10" s="232">
        <f t="shared" si="1"/>
        <v>100</v>
      </c>
      <c r="S10" s="232">
        <f t="shared" si="1"/>
        <v>100</v>
      </c>
      <c r="T10" s="232">
        <f t="shared" si="1"/>
        <v>100</v>
      </c>
    </row>
    <row r="11" spans="1:32" ht="26.25">
      <c r="A11" s="11" t="s">
        <v>52</v>
      </c>
      <c r="B11" s="43" t="s">
        <v>49</v>
      </c>
      <c r="C11" s="10">
        <v>110</v>
      </c>
      <c r="D11" s="10">
        <v>75</v>
      </c>
      <c r="E11" s="10">
        <v>0</v>
      </c>
      <c r="F11" s="10">
        <v>0</v>
      </c>
      <c r="G11" s="10">
        <v>0</v>
      </c>
      <c r="H11" s="10">
        <v>0</v>
      </c>
      <c r="I11" s="52">
        <v>67.05</v>
      </c>
      <c r="J11" s="128">
        <f>C11*I11</f>
        <v>7375.5</v>
      </c>
      <c r="K11" s="128">
        <f>D11*I11</f>
        <v>5028.75</v>
      </c>
      <c r="L11" s="128">
        <f>E11*I11</f>
        <v>0</v>
      </c>
      <c r="M11" s="128">
        <f>F11*I11</f>
        <v>0</v>
      </c>
      <c r="N11" s="128">
        <f>G11*I11</f>
        <v>0</v>
      </c>
      <c r="O11" s="128">
        <f>H11*I11</f>
        <v>0</v>
      </c>
      <c r="P11" s="129">
        <f>K11/J11*100</f>
        <v>68.181818181818173</v>
      </c>
      <c r="Q11" s="129">
        <f>L11/K11*100</f>
        <v>0</v>
      </c>
      <c r="R11" s="129">
        <v>0</v>
      </c>
      <c r="S11" s="129">
        <v>0</v>
      </c>
      <c r="T11" s="129">
        <v>0</v>
      </c>
    </row>
    <row r="12" spans="1:32" ht="26.25">
      <c r="A12" s="11" t="s">
        <v>53</v>
      </c>
      <c r="B12" s="43" t="s">
        <v>49</v>
      </c>
      <c r="C12" s="10">
        <v>57.4</v>
      </c>
      <c r="D12" s="10">
        <v>41</v>
      </c>
      <c r="E12" s="10">
        <v>19</v>
      </c>
      <c r="F12" s="10">
        <v>19</v>
      </c>
      <c r="G12" s="10">
        <v>19</v>
      </c>
      <c r="H12" s="10">
        <v>19</v>
      </c>
      <c r="I12" s="52">
        <v>42.4</v>
      </c>
      <c r="J12" s="128">
        <f t="shared" ref="J12:J14" si="2">C12*I12</f>
        <v>2433.7599999999998</v>
      </c>
      <c r="K12" s="128">
        <f t="shared" ref="K12:K14" si="3">D12*I12</f>
        <v>1738.3999999999999</v>
      </c>
      <c r="L12" s="128">
        <f t="shared" ref="L12:L14" si="4">E12*I12</f>
        <v>805.6</v>
      </c>
      <c r="M12" s="128">
        <f t="shared" ref="M12:M14" si="5">F12*I12</f>
        <v>805.6</v>
      </c>
      <c r="N12" s="128">
        <f t="shared" ref="N12:N14" si="6">G12*I12</f>
        <v>805.6</v>
      </c>
      <c r="O12" s="128">
        <f t="shared" ref="O12:O14" si="7">H12*I12</f>
        <v>805.6</v>
      </c>
      <c r="P12" s="129">
        <f t="shared" ref="P12:T16" si="8">K12/J12*100</f>
        <v>71.428571428571431</v>
      </c>
      <c r="Q12" s="129">
        <f t="shared" si="8"/>
        <v>46.341463414634148</v>
      </c>
      <c r="R12" s="129">
        <f t="shared" si="8"/>
        <v>100</v>
      </c>
      <c r="S12" s="129">
        <f t="shared" si="8"/>
        <v>100</v>
      </c>
      <c r="T12" s="129">
        <f t="shared" si="8"/>
        <v>100</v>
      </c>
    </row>
    <row r="13" spans="1:32" ht="26.25">
      <c r="A13" s="11" t="s">
        <v>54</v>
      </c>
      <c r="B13" s="43" t="s">
        <v>49</v>
      </c>
      <c r="C13" s="10">
        <v>1942</v>
      </c>
      <c r="D13" s="10">
        <v>1731</v>
      </c>
      <c r="E13" s="10">
        <v>1790</v>
      </c>
      <c r="F13" s="10">
        <v>1790</v>
      </c>
      <c r="G13" s="10">
        <v>1790</v>
      </c>
      <c r="H13" s="10">
        <v>1790</v>
      </c>
      <c r="I13" s="52">
        <v>8.4600000000000009</v>
      </c>
      <c r="J13" s="128">
        <f t="shared" si="2"/>
        <v>16429.320000000003</v>
      </c>
      <c r="K13" s="128">
        <f t="shared" si="3"/>
        <v>14644.260000000002</v>
      </c>
      <c r="L13" s="128">
        <f t="shared" si="4"/>
        <v>15143.400000000001</v>
      </c>
      <c r="M13" s="128">
        <f t="shared" si="5"/>
        <v>15143.400000000001</v>
      </c>
      <c r="N13" s="128">
        <f t="shared" si="6"/>
        <v>15143.400000000001</v>
      </c>
      <c r="O13" s="128">
        <f t="shared" si="7"/>
        <v>15143.400000000001</v>
      </c>
      <c r="P13" s="129">
        <f t="shared" si="8"/>
        <v>89.134912461380011</v>
      </c>
      <c r="Q13" s="129">
        <f t="shared" si="8"/>
        <v>103.40843443096475</v>
      </c>
      <c r="R13" s="129">
        <f t="shared" si="8"/>
        <v>100</v>
      </c>
      <c r="S13" s="129">
        <f t="shared" si="8"/>
        <v>100</v>
      </c>
      <c r="T13" s="129">
        <f t="shared" si="8"/>
        <v>100</v>
      </c>
    </row>
    <row r="14" spans="1:32" ht="26.25">
      <c r="A14" s="11" t="s">
        <v>55</v>
      </c>
      <c r="B14" s="43" t="s">
        <v>49</v>
      </c>
      <c r="C14" s="10">
        <v>47.1</v>
      </c>
      <c r="D14" s="10">
        <v>38.9</v>
      </c>
      <c r="E14" s="10">
        <v>30</v>
      </c>
      <c r="F14" s="10">
        <v>30</v>
      </c>
      <c r="G14" s="10">
        <v>30</v>
      </c>
      <c r="H14" s="10">
        <v>30</v>
      </c>
      <c r="I14" s="52">
        <v>17.82</v>
      </c>
      <c r="J14" s="128">
        <f t="shared" si="2"/>
        <v>839.322</v>
      </c>
      <c r="K14" s="128">
        <f t="shared" si="3"/>
        <v>693.19799999999998</v>
      </c>
      <c r="L14" s="128">
        <f t="shared" si="4"/>
        <v>534.6</v>
      </c>
      <c r="M14" s="128">
        <f t="shared" si="5"/>
        <v>534.6</v>
      </c>
      <c r="N14" s="128">
        <f t="shared" si="6"/>
        <v>534.6</v>
      </c>
      <c r="O14" s="128">
        <f t="shared" si="7"/>
        <v>534.6</v>
      </c>
      <c r="P14" s="129">
        <f t="shared" si="8"/>
        <v>82.59023354564755</v>
      </c>
      <c r="Q14" s="129">
        <f t="shared" si="8"/>
        <v>77.12082262210798</v>
      </c>
      <c r="R14" s="129">
        <f t="shared" si="8"/>
        <v>100</v>
      </c>
      <c r="S14" s="129">
        <f t="shared" si="8"/>
        <v>100</v>
      </c>
      <c r="T14" s="129">
        <f t="shared" si="8"/>
        <v>100</v>
      </c>
    </row>
    <row r="15" spans="1:32" ht="55.5" customHeight="1">
      <c r="A15" s="14" t="s">
        <v>102</v>
      </c>
      <c r="B15" s="43"/>
      <c r="C15" s="10"/>
      <c r="D15" s="10"/>
      <c r="E15" s="10"/>
      <c r="F15" s="10"/>
      <c r="G15" s="10"/>
      <c r="H15" s="10"/>
      <c r="I15" s="52"/>
      <c r="J15" s="128"/>
      <c r="K15" s="128"/>
      <c r="L15" s="128"/>
      <c r="M15" s="128"/>
      <c r="N15" s="128"/>
      <c r="O15" s="128"/>
      <c r="P15" s="129"/>
      <c r="Q15" s="129"/>
      <c r="R15" s="129"/>
      <c r="S15" s="129"/>
      <c r="T15" s="129"/>
    </row>
    <row r="16" spans="1:32" ht="52.5">
      <c r="A16" s="11" t="s">
        <v>56</v>
      </c>
      <c r="B16" s="43" t="s">
        <v>48</v>
      </c>
      <c r="C16" s="10">
        <v>92.42</v>
      </c>
      <c r="D16" s="10">
        <v>186.12</v>
      </c>
      <c r="E16" s="10">
        <v>193</v>
      </c>
      <c r="F16" s="10">
        <v>193</v>
      </c>
      <c r="G16" s="10">
        <v>193</v>
      </c>
      <c r="H16" s="10">
        <v>193</v>
      </c>
      <c r="I16" s="52">
        <v>2716.41</v>
      </c>
      <c r="J16" s="128">
        <f>C16*I16</f>
        <v>251050.6122</v>
      </c>
      <c r="K16" s="128">
        <f>D16*I16</f>
        <v>505578.2292</v>
      </c>
      <c r="L16" s="128">
        <f>E16*I16</f>
        <v>524267.12999999995</v>
      </c>
      <c r="M16" s="128">
        <f>F16*I16</f>
        <v>524267.12999999995</v>
      </c>
      <c r="N16" s="128">
        <f>G16*I16</f>
        <v>524267.12999999995</v>
      </c>
      <c r="O16" s="128">
        <f>H16*I16</f>
        <v>524267.12999999995</v>
      </c>
      <c r="P16" s="129">
        <f>K16/J16*100</f>
        <v>201.38498160571302</v>
      </c>
      <c r="Q16" s="129">
        <f t="shared" si="8"/>
        <v>103.69653986675263</v>
      </c>
      <c r="R16" s="129">
        <f t="shared" si="8"/>
        <v>100</v>
      </c>
      <c r="S16" s="129">
        <f t="shared" si="8"/>
        <v>100</v>
      </c>
      <c r="T16" s="129">
        <f t="shared" si="8"/>
        <v>100</v>
      </c>
    </row>
    <row r="17" spans="1:20" ht="27.75">
      <c r="A17" s="22" t="s">
        <v>50</v>
      </c>
      <c r="B17" s="45" t="s">
        <v>80</v>
      </c>
      <c r="C17" s="15" t="s">
        <v>80</v>
      </c>
      <c r="D17" s="15" t="s">
        <v>80</v>
      </c>
      <c r="E17" s="15" t="s">
        <v>80</v>
      </c>
      <c r="F17" s="15"/>
      <c r="G17" s="15" t="s">
        <v>80</v>
      </c>
      <c r="H17" s="15"/>
      <c r="I17" s="54" t="s">
        <v>80</v>
      </c>
      <c r="J17" s="130">
        <f>SUM(J11:J16)</f>
        <v>278128.51419999998</v>
      </c>
      <c r="K17" s="130">
        <f t="shared" ref="K17:O17" si="9">SUM(K11:K16)</f>
        <v>527682.83719999995</v>
      </c>
      <c r="L17" s="130">
        <f t="shared" si="9"/>
        <v>540750.73</v>
      </c>
      <c r="M17" s="130">
        <f t="shared" si="9"/>
        <v>540750.73</v>
      </c>
      <c r="N17" s="130">
        <f t="shared" si="9"/>
        <v>540750.73</v>
      </c>
      <c r="O17" s="130">
        <f t="shared" si="9"/>
        <v>540750.73</v>
      </c>
      <c r="P17" s="131">
        <f>K17/J17*100</f>
        <v>189.72626331313424</v>
      </c>
      <c r="Q17" s="131">
        <f>L17/K17*100</f>
        <v>102.47646727897029</v>
      </c>
      <c r="R17" s="131">
        <f>M17/L17*100</f>
        <v>100</v>
      </c>
      <c r="S17" s="131">
        <f t="shared" ref="S17:T17" si="10">N13/M13*100</f>
        <v>100</v>
      </c>
      <c r="T17" s="131">
        <f t="shared" si="10"/>
        <v>100</v>
      </c>
    </row>
    <row r="18" spans="1:20" ht="27">
      <c r="A18" s="278" t="s">
        <v>57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  <c r="Q18" s="279"/>
      <c r="R18" s="279"/>
      <c r="S18" s="279"/>
      <c r="T18" s="277"/>
    </row>
    <row r="19" spans="1:20" ht="51.75">
      <c r="A19" s="9" t="s">
        <v>59</v>
      </c>
      <c r="B19" s="43"/>
      <c r="C19" s="10"/>
      <c r="D19" s="10"/>
      <c r="E19" s="10"/>
      <c r="F19" s="10"/>
      <c r="G19" s="10"/>
      <c r="H19" s="10"/>
      <c r="I19" s="52"/>
      <c r="J19" s="136">
        <f>J20+J22</f>
        <v>42368.748399999997</v>
      </c>
      <c r="K19" s="136">
        <f t="shared" ref="K19:O19" si="11">K20+K22</f>
        <v>42717.840000000004</v>
      </c>
      <c r="L19" s="136">
        <f t="shared" si="11"/>
        <v>43762.378000000004</v>
      </c>
      <c r="M19" s="136">
        <f t="shared" si="11"/>
        <v>43483.990000000005</v>
      </c>
      <c r="N19" s="136">
        <f t="shared" si="11"/>
        <v>43541.652000000002</v>
      </c>
      <c r="O19" s="136">
        <f t="shared" si="11"/>
        <v>43541.652000000002</v>
      </c>
      <c r="P19" s="136">
        <f>K19/J19*100</f>
        <v>100.82393654092461</v>
      </c>
      <c r="Q19" s="136">
        <f t="shared" ref="Q19:T19" si="12">L19/K19*100</f>
        <v>102.44520322188575</v>
      </c>
      <c r="R19" s="136">
        <f t="shared" si="12"/>
        <v>99.363864550505014</v>
      </c>
      <c r="S19" s="136">
        <f t="shared" si="12"/>
        <v>100.13260512662245</v>
      </c>
      <c r="T19" s="136">
        <f t="shared" si="12"/>
        <v>100</v>
      </c>
    </row>
    <row r="20" spans="1:20" ht="26.25">
      <c r="A20" s="11" t="s">
        <v>60</v>
      </c>
      <c r="B20" s="43" t="s">
        <v>58</v>
      </c>
      <c r="C20" s="10">
        <v>84.04</v>
      </c>
      <c r="D20" s="10">
        <v>85.2</v>
      </c>
      <c r="E20" s="10">
        <v>87.4</v>
      </c>
      <c r="F20" s="10">
        <v>87.4</v>
      </c>
      <c r="G20" s="10">
        <v>87.6</v>
      </c>
      <c r="H20" s="10">
        <v>87.6</v>
      </c>
      <c r="I20" s="52">
        <v>288.31</v>
      </c>
      <c r="J20" s="128">
        <f t="shared" ref="J20:J24" si="13">C20*I20</f>
        <v>24229.572400000001</v>
      </c>
      <c r="K20" s="128">
        <f t="shared" ref="K20:K24" si="14">D20*I20</f>
        <v>24564.012000000002</v>
      </c>
      <c r="L20" s="128">
        <f t="shared" ref="L20:L24" si="15">E20*I20</f>
        <v>25198.294000000002</v>
      </c>
      <c r="M20" s="128">
        <f t="shared" ref="M20:M24" si="16">F20*I20</f>
        <v>25198.294000000002</v>
      </c>
      <c r="N20" s="128">
        <f t="shared" ref="N20:N24" si="17">G20*I20</f>
        <v>25255.955999999998</v>
      </c>
      <c r="O20" s="128">
        <f t="shared" ref="O20:O22" si="18">H20*I20</f>
        <v>25255.955999999998</v>
      </c>
      <c r="P20" s="129">
        <f t="shared" ref="P20" si="19">K16/J16*100</f>
        <v>201.38498160571302</v>
      </c>
      <c r="Q20" s="129">
        <f t="shared" ref="Q20:T23" si="20">L20/K20*100</f>
        <v>102.58215962441315</v>
      </c>
      <c r="R20" s="129">
        <f t="shared" si="20"/>
        <v>100</v>
      </c>
      <c r="S20" s="129">
        <f t="shared" si="20"/>
        <v>100.22883295194507</v>
      </c>
      <c r="T20" s="129">
        <f t="shared" si="20"/>
        <v>100</v>
      </c>
    </row>
    <row r="21" spans="1:20" ht="52.5" customHeight="1">
      <c r="A21" s="9" t="s">
        <v>62</v>
      </c>
      <c r="B21" s="43"/>
      <c r="C21" s="10"/>
      <c r="D21" s="10"/>
      <c r="E21" s="10"/>
      <c r="F21" s="10"/>
      <c r="G21" s="10"/>
      <c r="H21" s="10"/>
      <c r="I21" s="52"/>
      <c r="J21" s="128"/>
      <c r="K21" s="128"/>
      <c r="L21" s="128"/>
      <c r="M21" s="128"/>
      <c r="N21" s="128"/>
      <c r="O21" s="128"/>
      <c r="P21" s="129"/>
      <c r="Q21" s="129"/>
      <c r="R21" s="129"/>
      <c r="S21" s="129"/>
      <c r="T21" s="129"/>
    </row>
    <row r="22" spans="1:20" ht="26.25">
      <c r="A22" s="12" t="s">
        <v>61</v>
      </c>
      <c r="B22" s="44" t="s">
        <v>58</v>
      </c>
      <c r="C22" s="13">
        <v>123.8</v>
      </c>
      <c r="D22" s="13">
        <v>123.9</v>
      </c>
      <c r="E22" s="13">
        <v>126.7</v>
      </c>
      <c r="F22" s="13">
        <v>124.8</v>
      </c>
      <c r="G22" s="13">
        <v>124.8</v>
      </c>
      <c r="H22" s="13">
        <v>124.8</v>
      </c>
      <c r="I22" s="53">
        <v>146.52000000000001</v>
      </c>
      <c r="J22" s="128">
        <f t="shared" si="13"/>
        <v>18139.175999999999</v>
      </c>
      <c r="K22" s="128">
        <f t="shared" si="14"/>
        <v>18153.828000000001</v>
      </c>
      <c r="L22" s="128">
        <f t="shared" si="15"/>
        <v>18564.084000000003</v>
      </c>
      <c r="M22" s="128">
        <f t="shared" si="16"/>
        <v>18285.696</v>
      </c>
      <c r="N22" s="128">
        <f t="shared" si="17"/>
        <v>18285.696</v>
      </c>
      <c r="O22" s="128">
        <f t="shared" si="18"/>
        <v>18285.696</v>
      </c>
      <c r="P22" s="129">
        <f>K20/J20*100</f>
        <v>101.38029509757258</v>
      </c>
      <c r="Q22" s="129">
        <f t="shared" si="20"/>
        <v>102.25988700564972</v>
      </c>
      <c r="R22" s="129">
        <f t="shared" si="20"/>
        <v>98.500394632991302</v>
      </c>
      <c r="S22" s="129">
        <f t="shared" si="20"/>
        <v>100</v>
      </c>
      <c r="T22" s="129">
        <f t="shared" si="20"/>
        <v>100</v>
      </c>
    </row>
    <row r="23" spans="1:20" ht="52.5" customHeight="1">
      <c r="A23" s="9" t="s">
        <v>180</v>
      </c>
      <c r="B23" s="43"/>
      <c r="C23" s="10"/>
      <c r="D23" s="10"/>
      <c r="E23" s="10"/>
      <c r="F23" s="10"/>
      <c r="G23" s="10"/>
      <c r="H23" s="10"/>
      <c r="I23" s="52"/>
      <c r="J23" s="132">
        <f>J24</f>
        <v>12864.996000000001</v>
      </c>
      <c r="K23" s="132">
        <f t="shared" ref="K23:O23" si="21">K24</f>
        <v>12686.983999999999</v>
      </c>
      <c r="L23" s="132">
        <f t="shared" si="21"/>
        <v>12897.848</v>
      </c>
      <c r="M23" s="132">
        <f t="shared" si="21"/>
        <v>12897.848</v>
      </c>
      <c r="N23" s="132">
        <f t="shared" si="21"/>
        <v>12897.848</v>
      </c>
      <c r="O23" s="132">
        <f t="shared" si="21"/>
        <v>12897.848</v>
      </c>
      <c r="P23" s="135">
        <f>K23/J23*100</f>
        <v>98.616307381673479</v>
      </c>
      <c r="Q23" s="135">
        <f t="shared" si="20"/>
        <v>101.66204986149584</v>
      </c>
      <c r="R23" s="135">
        <f t="shared" si="20"/>
        <v>100</v>
      </c>
      <c r="S23" s="135">
        <f t="shared" si="20"/>
        <v>100</v>
      </c>
      <c r="T23" s="135">
        <f t="shared" si="20"/>
        <v>100</v>
      </c>
    </row>
    <row r="24" spans="1:20" ht="26.25">
      <c r="A24" s="12" t="s">
        <v>181</v>
      </c>
      <c r="B24" s="44" t="s">
        <v>58</v>
      </c>
      <c r="C24" s="13">
        <v>1683.9</v>
      </c>
      <c r="D24" s="13">
        <v>1660.6</v>
      </c>
      <c r="E24" s="13">
        <v>1688.2</v>
      </c>
      <c r="F24" s="13">
        <v>1688.2</v>
      </c>
      <c r="G24" s="13">
        <v>1688.2</v>
      </c>
      <c r="H24" s="13">
        <v>1688.2</v>
      </c>
      <c r="I24" s="53">
        <v>7.64</v>
      </c>
      <c r="J24" s="128">
        <f t="shared" si="13"/>
        <v>12864.996000000001</v>
      </c>
      <c r="K24" s="128">
        <f t="shared" si="14"/>
        <v>12686.983999999999</v>
      </c>
      <c r="L24" s="128">
        <f t="shared" si="15"/>
        <v>12897.848</v>
      </c>
      <c r="M24" s="128">
        <f t="shared" si="16"/>
        <v>12897.848</v>
      </c>
      <c r="N24" s="128">
        <f t="shared" si="17"/>
        <v>12897.848</v>
      </c>
      <c r="O24" s="128">
        <f>H24*I24</f>
        <v>12897.848</v>
      </c>
      <c r="P24" s="129">
        <f>K22/J22*100</f>
        <v>100.08077544426494</v>
      </c>
      <c r="Q24" s="129">
        <f t="shared" ref="Q24:T24" si="22">L22/K22*100</f>
        <v>102.25988700564972</v>
      </c>
      <c r="R24" s="129">
        <f t="shared" si="22"/>
        <v>98.500394632991302</v>
      </c>
      <c r="S24" s="129">
        <f t="shared" si="22"/>
        <v>100</v>
      </c>
      <c r="T24" s="129">
        <f t="shared" si="22"/>
        <v>100</v>
      </c>
    </row>
    <row r="25" spans="1:20" ht="35.25" customHeight="1">
      <c r="A25" s="96" t="s">
        <v>50</v>
      </c>
      <c r="B25" s="139"/>
      <c r="C25" s="140"/>
      <c r="D25" s="140"/>
      <c r="E25" s="140"/>
      <c r="F25" s="140"/>
      <c r="G25" s="140"/>
      <c r="H25" s="140"/>
      <c r="I25" s="141"/>
      <c r="J25" s="137">
        <f>J19+J23</f>
        <v>55233.744399999996</v>
      </c>
      <c r="K25" s="137">
        <f t="shared" ref="K25:O25" si="23">K19+K23</f>
        <v>55404.824000000001</v>
      </c>
      <c r="L25" s="137">
        <f t="shared" si="23"/>
        <v>56660.226000000002</v>
      </c>
      <c r="M25" s="137">
        <f t="shared" si="23"/>
        <v>56381.838000000003</v>
      </c>
      <c r="N25" s="137">
        <f t="shared" si="23"/>
        <v>56439.5</v>
      </c>
      <c r="O25" s="137">
        <f t="shared" si="23"/>
        <v>56439.5</v>
      </c>
      <c r="P25" s="142">
        <f>K25/J25*100</f>
        <v>100.30973746549039</v>
      </c>
      <c r="Q25" s="142">
        <f t="shared" ref="Q25:T26" si="24">L25/K25*100</f>
        <v>102.26587128947473</v>
      </c>
      <c r="R25" s="142">
        <f t="shared" si="24"/>
        <v>99.508671214971855</v>
      </c>
      <c r="S25" s="142">
        <f t="shared" si="24"/>
        <v>100.1022705219365</v>
      </c>
      <c r="T25" s="142">
        <f t="shared" si="24"/>
        <v>100</v>
      </c>
    </row>
    <row r="26" spans="1:20" ht="71.25" customHeight="1">
      <c r="A26" s="23" t="s">
        <v>63</v>
      </c>
      <c r="B26" s="15" t="s">
        <v>80</v>
      </c>
      <c r="C26" s="15" t="s">
        <v>80</v>
      </c>
      <c r="D26" s="15" t="s">
        <v>80</v>
      </c>
      <c r="E26" s="15" t="s">
        <v>80</v>
      </c>
      <c r="F26" s="15"/>
      <c r="G26" s="15" t="s">
        <v>80</v>
      </c>
      <c r="H26" s="15"/>
      <c r="I26" s="111" t="s">
        <v>80</v>
      </c>
      <c r="J26" s="133">
        <f>J17+J25</f>
        <v>333362.25859999994</v>
      </c>
      <c r="K26" s="133">
        <f t="shared" ref="K26:O26" si="25">K17+K25</f>
        <v>583087.66119999997</v>
      </c>
      <c r="L26" s="133">
        <f t="shared" si="25"/>
        <v>597410.95600000001</v>
      </c>
      <c r="M26" s="133">
        <f t="shared" si="25"/>
        <v>597132.56799999997</v>
      </c>
      <c r="N26" s="133">
        <f t="shared" si="25"/>
        <v>597190.23</v>
      </c>
      <c r="O26" s="133">
        <f t="shared" si="25"/>
        <v>597190.23</v>
      </c>
      <c r="P26" s="134">
        <f>K26/J26*100</f>
        <v>174.91112030760644</v>
      </c>
      <c r="Q26" s="134">
        <f t="shared" si="24"/>
        <v>102.45645650784697</v>
      </c>
      <c r="R26" s="134">
        <f t="shared" si="24"/>
        <v>99.95340092155925</v>
      </c>
      <c r="S26" s="134">
        <f t="shared" si="24"/>
        <v>100.00965648217668</v>
      </c>
      <c r="T26" s="134">
        <f t="shared" si="24"/>
        <v>100</v>
      </c>
    </row>
    <row r="27" spans="1:20" ht="27.75">
      <c r="A27" s="24"/>
      <c r="B27" s="46"/>
      <c r="C27" s="19"/>
      <c r="D27" s="19"/>
      <c r="E27" s="19"/>
      <c r="F27" s="19"/>
      <c r="G27" s="19"/>
      <c r="H27" s="19"/>
      <c r="I27" s="55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ht="26.25">
      <c r="A28" s="281" t="s">
        <v>82</v>
      </c>
      <c r="B28" s="282"/>
      <c r="C28" s="282"/>
      <c r="D28" s="282"/>
      <c r="E28" s="282"/>
      <c r="F28" s="282"/>
      <c r="G28" s="282"/>
      <c r="H28" s="282"/>
      <c r="I28" s="282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spans="1:20" ht="26.25">
      <c r="A29" s="25" t="s">
        <v>110</v>
      </c>
      <c r="B29" s="47"/>
      <c r="C29" s="26"/>
      <c r="D29" s="26"/>
      <c r="E29" s="26"/>
      <c r="F29" s="26"/>
      <c r="G29" s="26"/>
      <c r="H29" s="26"/>
      <c r="I29" s="56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</row>
    <row r="30" spans="1:20" ht="57.75" customHeight="1">
      <c r="A30" s="280" t="s">
        <v>88</v>
      </c>
      <c r="B30" s="280"/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0"/>
    </row>
    <row r="31" spans="1:20" ht="20.25">
      <c r="A31" s="21"/>
      <c r="B31" s="48"/>
      <c r="C31" s="16"/>
      <c r="D31" s="16"/>
      <c r="E31" s="16"/>
      <c r="F31" s="16"/>
      <c r="G31" s="16"/>
      <c r="H31" s="16"/>
      <c r="I31" s="5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20" ht="20.25">
      <c r="A32" s="16"/>
      <c r="B32" s="48"/>
      <c r="C32" s="16"/>
      <c r="D32" s="16"/>
      <c r="E32" s="16"/>
      <c r="F32" s="16"/>
      <c r="G32" s="16"/>
      <c r="H32" s="16"/>
      <c r="I32" s="5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19" ht="20.25">
      <c r="A33" s="16"/>
      <c r="B33" s="48"/>
      <c r="C33" s="16"/>
      <c r="D33" s="16"/>
      <c r="E33" s="16"/>
      <c r="F33" s="16"/>
      <c r="G33" s="16"/>
      <c r="H33" s="16"/>
      <c r="I33" s="5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ht="20.25">
      <c r="A34" s="16"/>
      <c r="B34" s="48"/>
      <c r="C34" s="16"/>
      <c r="D34" s="16"/>
      <c r="E34" s="16"/>
      <c r="F34" s="16"/>
      <c r="G34" s="16"/>
      <c r="H34" s="16"/>
      <c r="I34" s="5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ht="20.25">
      <c r="A35" s="16"/>
      <c r="B35" s="48"/>
      <c r="C35" s="16"/>
      <c r="D35" s="16"/>
      <c r="E35" s="16"/>
      <c r="F35" s="16"/>
      <c r="G35" s="16"/>
      <c r="H35" s="16"/>
      <c r="I35" s="5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ht="20.25">
      <c r="A36" s="16"/>
      <c r="B36" s="48"/>
      <c r="C36" s="16"/>
      <c r="D36" s="16"/>
      <c r="E36" s="16"/>
      <c r="F36" s="16"/>
      <c r="G36" s="16"/>
      <c r="H36" s="16"/>
      <c r="I36" s="5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ht="20.25">
      <c r="A37" s="16"/>
      <c r="B37" s="48"/>
      <c r="C37" s="16"/>
      <c r="D37" s="16"/>
      <c r="E37" s="16"/>
      <c r="F37" s="16"/>
      <c r="G37" s="16"/>
      <c r="H37" s="16"/>
      <c r="I37" s="5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ht="20.25">
      <c r="A38" s="16"/>
      <c r="B38" s="48"/>
      <c r="C38" s="16"/>
      <c r="D38" s="16"/>
      <c r="E38" s="16"/>
      <c r="F38" s="16"/>
      <c r="G38" s="16"/>
      <c r="H38" s="16"/>
      <c r="I38" s="57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>
      <c r="A39" s="18"/>
      <c r="B39" s="49"/>
      <c r="C39" s="18"/>
      <c r="D39" s="18"/>
      <c r="E39" s="18"/>
      <c r="F39" s="18"/>
      <c r="G39" s="18"/>
      <c r="H39" s="18"/>
      <c r="I39" s="58"/>
    </row>
    <row r="40" spans="1:19">
      <c r="A40" s="18"/>
      <c r="B40" s="49"/>
      <c r="C40" s="18"/>
      <c r="D40" s="18"/>
      <c r="E40" s="18"/>
      <c r="F40" s="18"/>
      <c r="G40" s="18"/>
      <c r="H40" s="18"/>
      <c r="I40" s="58"/>
    </row>
    <row r="41" spans="1:19">
      <c r="A41" s="18"/>
      <c r="B41" s="49"/>
      <c r="C41" s="18"/>
      <c r="D41" s="18"/>
      <c r="E41" s="18"/>
      <c r="F41" s="18"/>
      <c r="G41" s="18"/>
      <c r="H41" s="18"/>
      <c r="I41" s="58"/>
    </row>
    <row r="42" spans="1:19">
      <c r="A42" s="18"/>
      <c r="B42" s="49"/>
      <c r="C42" s="18"/>
      <c r="D42" s="18"/>
      <c r="E42" s="18"/>
      <c r="F42" s="18"/>
      <c r="G42" s="18"/>
      <c r="H42" s="18"/>
      <c r="I42" s="58"/>
    </row>
    <row r="43" spans="1:19">
      <c r="A43" s="18"/>
      <c r="B43" s="49"/>
      <c r="C43" s="18"/>
      <c r="D43" s="18"/>
      <c r="E43" s="18"/>
      <c r="F43" s="18"/>
      <c r="G43" s="18"/>
      <c r="H43" s="18"/>
      <c r="I43" s="58"/>
    </row>
    <row r="44" spans="1:19">
      <c r="A44" s="18"/>
      <c r="B44" s="49"/>
      <c r="C44" s="18"/>
      <c r="D44" s="18"/>
      <c r="E44" s="18"/>
      <c r="F44" s="18"/>
      <c r="G44" s="18"/>
      <c r="H44" s="18"/>
      <c r="I44" s="58"/>
    </row>
    <row r="45" spans="1:19">
      <c r="A45" s="18"/>
      <c r="B45" s="49"/>
      <c r="C45" s="18"/>
      <c r="D45" s="18"/>
      <c r="E45" s="18"/>
      <c r="F45" s="18"/>
      <c r="G45" s="18"/>
      <c r="H45" s="18"/>
      <c r="I45" s="58"/>
    </row>
  </sheetData>
  <mergeCells count="13">
    <mergeCell ref="N1:T1"/>
    <mergeCell ref="B5:H5"/>
    <mergeCell ref="J5:O5"/>
    <mergeCell ref="A2:S2"/>
    <mergeCell ref="A3:S3"/>
    <mergeCell ref="A5:A6"/>
    <mergeCell ref="I5:I6"/>
    <mergeCell ref="P5:T5"/>
    <mergeCell ref="A8:T8"/>
    <mergeCell ref="A18:T18"/>
    <mergeCell ref="A30:S30"/>
    <mergeCell ref="A28:I28"/>
    <mergeCell ref="A9:T9"/>
  </mergeCells>
  <phoneticPr fontId="15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33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Прогноз 2016 </vt:lpstr>
      <vt:lpstr>Диагностика</vt:lpstr>
      <vt:lpstr>Прил 3 (расчет ИФО) (2)</vt:lpstr>
      <vt:lpstr>Диагностика!Заголовки_для_печати</vt:lpstr>
      <vt:lpstr>'Прил 3 (расчет ИФО) (2)'!Заголовки_для_печати</vt:lpstr>
      <vt:lpstr>'Прогноз 2016 '!Заголовки_для_печати</vt:lpstr>
      <vt:lpstr>'Прил 3 (расчет ИФО) (2)'!Область_печати</vt:lpstr>
      <vt:lpstr>'Прогноз 2016 '!Область_печати</vt:lpstr>
    </vt:vector>
  </TitlesOfParts>
  <Company>AoIR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Филимоненко А.Н.</cp:lastModifiedBy>
  <cp:lastPrinted>2017-02-07T05:30:44Z</cp:lastPrinted>
  <dcterms:created xsi:type="dcterms:W3CDTF">2006-03-06T08:26:24Z</dcterms:created>
  <dcterms:modified xsi:type="dcterms:W3CDTF">2017-05-11T02:53:19Z</dcterms:modified>
</cp:coreProperties>
</file>